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80" windowHeight="8004" activeTab="0"/>
  </bookViews>
  <sheets>
    <sheet name="dues analysis" sheetId="1" r:id="rId1"/>
    <sheet name="2024 budget comp" sheetId="2" r:id="rId2"/>
    <sheet name="2024 Detail" sheetId="3" r:id="rId3"/>
    <sheet name="Est Act" sheetId="4" r:id="rId4"/>
    <sheet name="VI offset" sheetId="5" r:id="rId5"/>
    <sheet name="VI Electric" sheetId="6" r:id="rId6"/>
    <sheet name="BdgtNarrative 2024" sheetId="7" r:id="rId7"/>
    <sheet name="Utilities" sheetId="8" r:id="rId8"/>
    <sheet name="Sheet1" sheetId="9" r:id="rId9"/>
    <sheet name="Reserve Items" sheetId="10" r:id="rId10"/>
    <sheet name="Sheet2" sheetId="11" r:id="rId11"/>
    <sheet name="Ins Detail" sheetId="12" r:id="rId12"/>
    <sheet name="Graph Info" sheetId="13" r:id="rId13"/>
    <sheet name="Budget Comparison Graph" sheetId="14" r:id="rId14"/>
    <sheet name="Reserve Accounts" sheetId="15" r:id="rId15"/>
  </sheets>
  <externalReferences>
    <externalReference r:id="rId18"/>
  </externalReferences>
  <definedNames>
    <definedName name="\A">'2024 budget comp'!$AM$1</definedName>
    <definedName name="_Key1" localSheetId="1" hidden="1">'2024 budget comp'!#REF!</definedName>
    <definedName name="_Order1" localSheetId="1" hidden="1">255</definedName>
    <definedName name="_Sort" localSheetId="1" hidden="1">'2024 budget comp'!#REF!</definedName>
    <definedName name="Assumptions">'2024 budget comp'!$O$1:$Q$3</definedName>
    <definedName name="Comments">'2024 budget comp'!$Y$20:$Y$97</definedName>
    <definedName name="Infl_HA">'2024 budget comp'!$P$3</definedName>
    <definedName name="Infl_MX" localSheetId="6">'[1]2006 budget comp'!#REF!</definedName>
    <definedName name="Infl_MX" localSheetId="0">'[1]2006 budget comp'!#REF!</definedName>
    <definedName name="Infl_MX" localSheetId="4">'[1]2006 budget comp'!#REF!</definedName>
    <definedName name="Infl_MX">'2024 budget comp'!#REF!</definedName>
    <definedName name="Infl_US">'2024 budget comp'!$P$2</definedName>
    <definedName name="Input">'2024 budget comp'!$O$20:$Y$97</definedName>
    <definedName name="Labor_HA">'2024 budget comp'!$Q$3</definedName>
    <definedName name="Labor_MX" localSheetId="6">'[1]2006 budget comp'!#REF!</definedName>
    <definedName name="Labor_MX" localSheetId="0">'[1]2006 budget comp'!#REF!</definedName>
    <definedName name="Labor_MX" localSheetId="4">'[1]2006 budget comp'!#REF!</definedName>
    <definedName name="Labor_MX">'2024 budget comp'!#REF!</definedName>
    <definedName name="Labor_US">'2024 budget comp'!$Q$2</definedName>
    <definedName name="_xlnm.Print_Area" localSheetId="1">'2024 budget comp'!$A$1:$N$104</definedName>
    <definedName name="_xlnm.Print_Area" localSheetId="2">'2024 Detail'!$A$1:$Q$108</definedName>
    <definedName name="_xlnm.Print_Area" localSheetId="0">'dues analysis'!$A$1:$M$23</definedName>
    <definedName name="_xlnm.Print_Area" localSheetId="9">'Reserve Items'!$A$1:$O$74</definedName>
    <definedName name="_xlnm.Print_Area" localSheetId="7">'Utilities'!$A$1:$O$20</definedName>
    <definedName name="_xlnm.Print_Area" localSheetId="4">'VI offset'!$A$1:$F$23</definedName>
    <definedName name="_xlnm.Print_Titles" localSheetId="1">'2024 budget comp'!$A:$B,'2024 budget comp'!$1:$5</definedName>
    <definedName name="_xlnm.Print_Titles" localSheetId="2">'2024 Detail'!$4:$6</definedName>
    <definedName name="_xlnm.Print_Titles" localSheetId="0">'dues analysis'!$1:$1</definedName>
    <definedName name="Results">'2024 budget comp'!$C$20:$N$97</definedName>
    <definedName name="US_Mainland">'2024 budget comp'!$Q$2</definedName>
  </definedNames>
  <calcPr fullCalcOnLoad="1"/>
</workbook>
</file>

<file path=xl/comments3.xml><?xml version="1.0" encoding="utf-8"?>
<comments xmlns="http://schemas.openxmlformats.org/spreadsheetml/2006/main">
  <authors>
    <author>Manager</author>
    <author>LBateman</author>
  </authors>
  <commentList>
    <comment ref="L28" authorId="0">
      <text>
        <r>
          <rPr>
            <b/>
            <sz val="9"/>
            <rFont val="Tahoma"/>
            <family val="2"/>
          </rPr>
          <t>Manager:</t>
        </r>
        <r>
          <rPr>
            <sz val="9"/>
            <rFont val="Tahoma"/>
            <family val="2"/>
          </rPr>
          <t xml:space="preserve">
trend is to go up by 200 per year Was 6900</t>
        </r>
      </text>
    </comment>
    <comment ref="H26" authorId="1">
      <text>
        <r>
          <rPr>
            <b/>
            <sz val="9"/>
            <rFont val="Tahoma"/>
            <family val="2"/>
          </rPr>
          <t>LBateman:</t>
        </r>
        <r>
          <rPr>
            <sz val="9"/>
            <rFont val="Tahoma"/>
            <family val="2"/>
          </rPr>
          <t xml:space="preserve">
Bond
</t>
        </r>
      </text>
    </comment>
    <comment ref="C48" authorId="0">
      <text>
        <r>
          <rPr>
            <b/>
            <sz val="9"/>
            <rFont val="Tahoma"/>
            <family val="2"/>
          </rPr>
          <t>Manager:</t>
        </r>
        <r>
          <rPr>
            <sz val="9"/>
            <rFont val="Tahoma"/>
            <family val="2"/>
          </rPr>
          <t xml:space="preserve">
includes 5,000 for driveway extention for unit 98</t>
        </r>
      </text>
    </comment>
    <comment ref="E26" authorId="1">
      <text>
        <r>
          <rPr>
            <b/>
            <sz val="9"/>
            <rFont val="Tahoma"/>
            <family val="2"/>
          </rPr>
          <t>LBateman:</t>
        </r>
        <r>
          <rPr>
            <sz val="9"/>
            <rFont val="Tahoma"/>
            <family val="2"/>
          </rPr>
          <t xml:space="preserve">
audit fee
</t>
        </r>
      </text>
    </comment>
  </commentList>
</comments>
</file>

<file path=xl/comments5.xml><?xml version="1.0" encoding="utf-8"?>
<comments xmlns="http://schemas.openxmlformats.org/spreadsheetml/2006/main">
  <authors>
    <author>Manager</author>
  </authors>
  <commentList>
    <comment ref="B18" authorId="0">
      <text>
        <r>
          <rPr>
            <b/>
            <sz val="9"/>
            <rFont val="Tahoma"/>
            <family val="2"/>
          </rPr>
          <t>Manager:</t>
        </r>
        <r>
          <rPr>
            <sz val="9"/>
            <rFont val="Tahoma"/>
            <family val="2"/>
          </rPr>
          <t xml:space="preserve">
this the total cost for the common area meter at 2020 year end.</t>
        </r>
      </text>
    </comment>
  </commentList>
</comments>
</file>

<file path=xl/sharedStrings.xml><?xml version="1.0" encoding="utf-8"?>
<sst xmlns="http://schemas.openxmlformats.org/spreadsheetml/2006/main" count="1095" uniqueCount="610">
  <si>
    <t>Budget</t>
  </si>
  <si>
    <t>Account</t>
  </si>
  <si>
    <t>JAN</t>
  </si>
  <si>
    <t>FEB</t>
  </si>
  <si>
    <t>MAR</t>
  </si>
  <si>
    <t>APR</t>
  </si>
  <si>
    <t>MAY</t>
  </si>
  <si>
    <t>JUN</t>
  </si>
  <si>
    <t>JUL</t>
  </si>
  <si>
    <t>AUG</t>
  </si>
  <si>
    <t>Variance</t>
  </si>
  <si>
    <t>OPERATING REVENUE</t>
  </si>
  <si>
    <t>Assessment Income</t>
  </si>
  <si>
    <t>0000-40010-0000</t>
  </si>
  <si>
    <t xml:space="preserve">  Interest Income</t>
  </si>
  <si>
    <t>0000-40040-0000</t>
  </si>
  <si>
    <t>0000-40055-0000</t>
  </si>
  <si>
    <t>-</t>
  </si>
  <si>
    <t xml:space="preserve">  Total Operating Revenue</t>
  </si>
  <si>
    <t>OPERATING EXPENSES</t>
  </si>
  <si>
    <t>Payroll &amp; Insurance</t>
  </si>
  <si>
    <t xml:space="preserve">  Contract Svc. Common Area</t>
  </si>
  <si>
    <t>0106-60010-0000</t>
  </si>
  <si>
    <t>0106-60020-6285</t>
  </si>
  <si>
    <t xml:space="preserve">  Total Payroll &amp; Ins Exp</t>
  </si>
  <si>
    <t>General &amp; Administrative</t>
  </si>
  <si>
    <t xml:space="preserve">  Management Fee</t>
  </si>
  <si>
    <t>0105-60735-0000</t>
  </si>
  <si>
    <t xml:space="preserve">  Travel Expenses</t>
  </si>
  <si>
    <t>0105-60740-0000</t>
  </si>
  <si>
    <t xml:space="preserve">  Contract Svc. Accounting</t>
  </si>
  <si>
    <t>0105-60745-0000</t>
  </si>
  <si>
    <t xml:space="preserve">  License/Inspection Fees</t>
  </si>
  <si>
    <t>0105-60760-0000</t>
  </si>
  <si>
    <t xml:space="preserve">  Taxes-Income</t>
  </si>
  <si>
    <t>0108-61540-0000</t>
  </si>
  <si>
    <t xml:space="preserve">  Miscellaneous</t>
  </si>
  <si>
    <t>0105-61781-0000</t>
  </si>
  <si>
    <t xml:space="preserve">  Contract Security</t>
  </si>
  <si>
    <t>0106-60050-0000</t>
  </si>
  <si>
    <t>0108-60655-0000</t>
  </si>
  <si>
    <t xml:space="preserve">  Insurance- Dir and Officers</t>
  </si>
  <si>
    <t xml:space="preserve">  Total General &amp; Admin Exp</t>
  </si>
  <si>
    <t>Repairs &amp; Maintenance</t>
  </si>
  <si>
    <t xml:space="preserve">  Contract Pest Control</t>
  </si>
  <si>
    <t>0106-60030-0000</t>
  </si>
  <si>
    <t xml:space="preserve">  Pool &amp; Jacuzzi Supplies</t>
  </si>
  <si>
    <t>0106-60040-6275</t>
  </si>
  <si>
    <t xml:space="preserve">  Contract Pool Jacuzzi</t>
  </si>
  <si>
    <t>0106-60040-6345</t>
  </si>
  <si>
    <t xml:space="preserve">  Contract Fire Extinguisher</t>
  </si>
  <si>
    <t>0106-60060-0000</t>
  </si>
  <si>
    <t xml:space="preserve">  Repair/Maint.-Driveways/Rds</t>
  </si>
  <si>
    <t>0106-61310-6045</t>
  </si>
  <si>
    <t xml:space="preserve">  Repair/Maint.-Buildings</t>
  </si>
  <si>
    <t>0106-61310-6145</t>
  </si>
  <si>
    <t xml:space="preserve">  Repair/Maint.- Pipes/Sprinkler</t>
  </si>
  <si>
    <t>0106-61310-6245</t>
  </si>
  <si>
    <t xml:space="preserve">  Repair/Maint.- Pool/Spa</t>
  </si>
  <si>
    <t>0106-61310-6345</t>
  </si>
  <si>
    <t xml:space="preserve">  Repair/Maint.-Roof Repair</t>
  </si>
  <si>
    <t>0106-61310-6445</t>
  </si>
  <si>
    <t xml:space="preserve">  Supplies-Exterior Lights</t>
  </si>
  <si>
    <t>0106-61455-6320</t>
  </si>
  <si>
    <t xml:space="preserve">  Supplies-Tennis/Basketball</t>
  </si>
  <si>
    <t>0106-61455-6325</t>
  </si>
  <si>
    <t xml:space="preserve">  Contract Svc.-Landscaping</t>
  </si>
  <si>
    <t>0106-60020-6245</t>
  </si>
  <si>
    <t xml:space="preserve">  Landscape Supplies</t>
  </si>
  <si>
    <t>0106-60020-6275</t>
  </si>
  <si>
    <t xml:space="preserve">  Total Repairs &amp; Maint Exp</t>
  </si>
  <si>
    <t>Utilities</t>
  </si>
  <si>
    <t xml:space="preserve">  Cable</t>
  </si>
  <si>
    <t>0107-61655-0000</t>
  </si>
  <si>
    <t xml:space="preserve">  Electricity</t>
  </si>
  <si>
    <t>0107-61660-0000</t>
  </si>
  <si>
    <t xml:space="preserve">  Garbage</t>
  </si>
  <si>
    <t>0107-61665-0000</t>
  </si>
  <si>
    <t xml:space="preserve">  Gas</t>
  </si>
  <si>
    <t>0107-61670-0000</t>
  </si>
  <si>
    <t xml:space="preserve">  Sewer/Water</t>
  </si>
  <si>
    <t>0107-61675-0000</t>
  </si>
  <si>
    <t xml:space="preserve">  Total Utilities</t>
  </si>
  <si>
    <t>Total Operating Expenses</t>
  </si>
  <si>
    <t>OPERATING SURPLUS (DEFICIT)</t>
  </si>
  <si>
    <t>RESERVE REVENUE</t>
  </si>
  <si>
    <t xml:space="preserve">  Reserve Contribution Income</t>
  </si>
  <si>
    <t>0000-40030-0000</t>
  </si>
  <si>
    <t xml:space="preserve">  W/D from Reserves</t>
  </si>
  <si>
    <t>0000-40060-0000</t>
  </si>
  <si>
    <t xml:space="preserve">  Total Reserve Revenue</t>
  </si>
  <si>
    <t>RESERVE EXPENSES</t>
  </si>
  <si>
    <t xml:space="preserve">  Contribution to Reserves</t>
  </si>
  <si>
    <t>0109-61110-6140</t>
  </si>
  <si>
    <t>0109-61110-6325</t>
  </si>
  <si>
    <t>0109-61110-6333</t>
  </si>
  <si>
    <t>0109-61110-6334</t>
  </si>
  <si>
    <t>0109-61110-6335</t>
  </si>
  <si>
    <t>0109-61110-6345</t>
  </si>
  <si>
    <t>0109-61110-6355</t>
  </si>
  <si>
    <t>0109-61110-6360</t>
  </si>
  <si>
    <t>0109-61110-6371</t>
  </si>
  <si>
    <t>0109-61110-6410</t>
  </si>
  <si>
    <t xml:space="preserve">  Total Reserve Expenses</t>
  </si>
  <si>
    <t>RESERVE SURPLUS (DEFICIT)</t>
  </si>
  <si>
    <t>SEP</t>
  </si>
  <si>
    <t>OCT</t>
  </si>
  <si>
    <t>NOV</t>
  </si>
  <si>
    <t>DEC</t>
  </si>
  <si>
    <t>{?}{DOWN}/XG\A~</t>
  </si>
  <si>
    <t>2004</t>
  </si>
  <si>
    <t>%</t>
  </si>
  <si>
    <t>Actuals</t>
  </si>
  <si>
    <t>Budget to Budget Comments</t>
  </si>
  <si>
    <t>Operating Income Sources:</t>
  </si>
  <si>
    <t>Interest Income</t>
  </si>
  <si>
    <t>Contribution from VI</t>
  </si>
  <si>
    <t>Total Operating Income</t>
  </si>
  <si>
    <t>Operating Expenses</t>
  </si>
  <si>
    <t>PTRE</t>
  </si>
  <si>
    <t>Management fee</t>
  </si>
  <si>
    <t>License/Inspection fees</t>
  </si>
  <si>
    <t>Miscellaneous</t>
  </si>
  <si>
    <t>Insurance - D &amp; O</t>
  </si>
  <si>
    <t>Total G &amp; A Expenses</t>
  </si>
  <si>
    <t>Maintenance/Repairs</t>
  </si>
  <si>
    <t>Pest control</t>
  </si>
  <si>
    <t>Supplies -Pool &amp; spa</t>
  </si>
  <si>
    <t>Contract - pool /jacuzzi</t>
  </si>
  <si>
    <t>Contract - fire extinguisher</t>
  </si>
  <si>
    <t>Repair/maint - Driveways, roads</t>
  </si>
  <si>
    <t>Repair/maint - Buildings/Gate</t>
  </si>
  <si>
    <t>Repair/maint - Pipes, sprinklers</t>
  </si>
  <si>
    <t>Repair/maint - Pool, spa</t>
  </si>
  <si>
    <t>Supplies - Ext lights</t>
  </si>
  <si>
    <t>Contract svc - Landscaping</t>
  </si>
  <si>
    <t>Supplies - Landscapes</t>
  </si>
  <si>
    <t>Total Maintenance/Repairs</t>
  </si>
  <si>
    <t xml:space="preserve"> </t>
  </si>
  <si>
    <t>Cable</t>
  </si>
  <si>
    <t>Electricity</t>
  </si>
  <si>
    <t>Garbage</t>
  </si>
  <si>
    <t>Gas</t>
  </si>
  <si>
    <t>Sewer/water</t>
  </si>
  <si>
    <t>Total  Utilities</t>
  </si>
  <si>
    <t>Total Operating  Expense</t>
  </si>
  <si>
    <t>Reserve Income Sources</t>
  </si>
  <si>
    <t>Reserve Contribution</t>
  </si>
  <si>
    <t>Special Assessment</t>
  </si>
  <si>
    <t>Total Reserve Income</t>
  </si>
  <si>
    <t>Reserve Expenses</t>
  </si>
  <si>
    <t>Reserve Study</t>
  </si>
  <si>
    <t>Pool Furniture</t>
  </si>
  <si>
    <t>Pool Restroom</t>
  </si>
  <si>
    <t>Total Reserve Expense</t>
  </si>
  <si>
    <t>Reserve Fund Balance</t>
  </si>
  <si>
    <t>Fund Summary</t>
  </si>
  <si>
    <t>Total Operating Fund</t>
  </si>
  <si>
    <t>Total Reserve Fund</t>
  </si>
  <si>
    <t>Total Oasis Master Owners Assoc</t>
  </si>
  <si>
    <t>Assumptions</t>
  </si>
  <si>
    <t># of Units</t>
  </si>
  <si>
    <t>Total Annual Contribution</t>
  </si>
  <si>
    <t>Operating Expense</t>
  </si>
  <si>
    <t>Total Monthly contribution</t>
  </si>
  <si>
    <t>Vacation Internationale</t>
  </si>
  <si>
    <t>Village/Hotel</t>
  </si>
  <si>
    <t>Misc Revenue (VI contribution)</t>
  </si>
  <si>
    <t>Total Assessment</t>
  </si>
  <si>
    <t>Interest</t>
  </si>
  <si>
    <t>Total Revenue</t>
  </si>
  <si>
    <t>Proof</t>
  </si>
  <si>
    <t>Gross Budget</t>
  </si>
  <si>
    <t>VI contibution</t>
  </si>
  <si>
    <t>Net</t>
  </si>
  <si>
    <t>Offset amount</t>
  </si>
  <si>
    <t>4.6% of gross</t>
  </si>
  <si>
    <t>Repair/Mt-Driveways/Rds</t>
  </si>
  <si>
    <t>Repair/Mt-Pipes/Sprinklers</t>
  </si>
  <si>
    <t>Repair/Mt-Pool &amp; Spa</t>
  </si>
  <si>
    <t>Supplies-Landscapes</t>
  </si>
  <si>
    <t>Supplies-Pool &amp; Spa</t>
  </si>
  <si>
    <t>Water</t>
  </si>
  <si>
    <t>Total Expenses:</t>
  </si>
  <si>
    <t xml:space="preserve">TOTAL OFFSET IS </t>
  </si>
  <si>
    <t>OASIS MASTER HOMEOWNERS ASSOCIATION</t>
  </si>
  <si>
    <t>OPERATING BUDGET NARRATIVE</t>
  </si>
  <si>
    <t xml:space="preserve">The budget is </t>
  </si>
  <si>
    <t>Management Fee</t>
  </si>
  <si>
    <t>A fee paid to Vacation Internationale for daily managing of the HOA</t>
  </si>
  <si>
    <t>operation.</t>
  </si>
  <si>
    <t>Contracted Service-</t>
  </si>
  <si>
    <t>Accounting</t>
  </si>
  <si>
    <t>The budget is</t>
  </si>
  <si>
    <t>This money is to offset the Vacation Internationale front desk</t>
  </si>
  <si>
    <t xml:space="preserve">which serves as security 24/7.  Also included is telephone charges for calling </t>
  </si>
  <si>
    <t>security company</t>
  </si>
  <si>
    <t>Property Insurance</t>
  </si>
  <si>
    <t>D &amp; O Insurance</t>
  </si>
  <si>
    <t>Pest Control</t>
  </si>
  <si>
    <t>Chemicals for outside monthly service</t>
  </si>
  <si>
    <t>Supplies-Pools &amp; Spas</t>
  </si>
  <si>
    <t>Includes chemicals and garbage bags etc..</t>
  </si>
  <si>
    <t xml:space="preserve">Contracted Service-Pool &amp; </t>
  </si>
  <si>
    <t>Spas</t>
  </si>
  <si>
    <t>Contracted Service-Fire</t>
  </si>
  <si>
    <t>Extinguishers</t>
  </si>
  <si>
    <t xml:space="preserve">once a year. </t>
  </si>
  <si>
    <t>Repair Maintenance-</t>
  </si>
  <si>
    <t>Driveways &amp; Roads</t>
  </si>
  <si>
    <t>Repair Maintenance</t>
  </si>
  <si>
    <t>Includes maintenance for restrooms in main pool area, security</t>
  </si>
  <si>
    <t>shack and front gate.</t>
  </si>
  <si>
    <t>Pipes &amp; Sprinklers</t>
  </si>
  <si>
    <t>Pools &amp; Spas</t>
  </si>
  <si>
    <t>Supplies-Exterior Lights</t>
  </si>
  <si>
    <t xml:space="preserve">All lighting supplies for exterior including bulbs, fixtures etc.  </t>
  </si>
  <si>
    <t>Supplies-Tennis Courts</t>
  </si>
  <si>
    <t xml:space="preserve">This category includes lights, backboards, nets, etc.  </t>
  </si>
  <si>
    <t>Contract - Landscape</t>
  </si>
  <si>
    <t>Utilities-Cable</t>
  </si>
  <si>
    <t>Utilities-Electric</t>
  </si>
  <si>
    <t>Southern California Edison.  Budget based on estimated actuals</t>
  </si>
  <si>
    <t>Utilities-Refuse Disposal</t>
  </si>
  <si>
    <t>Utilities-Gas</t>
  </si>
  <si>
    <t>Utilities-Water</t>
  </si>
  <si>
    <t>Est Actuals</t>
  </si>
  <si>
    <t>Taxes</t>
  </si>
  <si>
    <t>Golf Carts</t>
  </si>
  <si>
    <t>Electrical</t>
  </si>
  <si>
    <t>NOTE: The Vacation Internationale Offset includes expenses that are paid by the HOA for lot # 2 which is</t>
  </si>
  <si>
    <t>Tennis Courts</t>
  </si>
  <si>
    <t>owned by Vacation Internationale. Each line item is either a set amount or an approved percentage of the expense</t>
  </si>
  <si>
    <t xml:space="preserve">  Professional Fees, Acctg</t>
  </si>
  <si>
    <t xml:space="preserve">Professional Fee, </t>
  </si>
  <si>
    <t>0109-61110-6430</t>
  </si>
  <si>
    <t>0109-61110-6435</t>
  </si>
  <si>
    <t>0109-61110-6425</t>
  </si>
  <si>
    <t>Special Projects</t>
  </si>
  <si>
    <t>Operating Fund Surplus (Deficit)</t>
  </si>
  <si>
    <t>Oasis Vlla Resort Homeowners Association</t>
  </si>
  <si>
    <t>Insurance Claims</t>
  </si>
  <si>
    <t>Deductible paid on liability claims</t>
  </si>
  <si>
    <t>Other Income</t>
  </si>
  <si>
    <t>Lake Recoating</t>
  </si>
  <si>
    <t>G &amp; A</t>
  </si>
  <si>
    <t>Maint/Repairs</t>
  </si>
  <si>
    <t xml:space="preserve">Reserve </t>
  </si>
  <si>
    <t>Oasis Villa Resort Homeowners Association</t>
  </si>
  <si>
    <t>Bad Debt Expense</t>
  </si>
  <si>
    <t>Pool Conversion</t>
  </si>
  <si>
    <t>0105-60746-0000</t>
  </si>
  <si>
    <t>0105-61785-0000</t>
  </si>
  <si>
    <t>0109-61110-6415</t>
  </si>
  <si>
    <t>0109-61110-6420</t>
  </si>
  <si>
    <t>0109-61110-6445</t>
  </si>
  <si>
    <t>0109-61110-6320</t>
  </si>
  <si>
    <t>0109-61110-6346</t>
  </si>
  <si>
    <t>0109-61110-6340</t>
  </si>
  <si>
    <t>0109-61110-6350</t>
  </si>
  <si>
    <t>0109-61110-6375</t>
  </si>
  <si>
    <t>0109-61110-6376</t>
  </si>
  <si>
    <t>0109-61110-6414</t>
  </si>
  <si>
    <t>0109-61110-6389</t>
  </si>
  <si>
    <t>0109-61110-6356</t>
  </si>
  <si>
    <t>Budget Comments</t>
  </si>
  <si>
    <t>Legal Expense</t>
  </si>
  <si>
    <t>Legal Expenses</t>
  </si>
  <si>
    <t>Assocation legal expenses incurred</t>
  </si>
  <si>
    <t>Beams-Dumpster Areas</t>
  </si>
  <si>
    <t>Beams-Bus Stop</t>
  </si>
  <si>
    <t>Roofing-Bus Stop</t>
  </si>
  <si>
    <t>Beams-Guard Shack</t>
  </si>
  <si>
    <t>Fountain Tile</t>
  </si>
  <si>
    <t>Phone Directory</t>
  </si>
  <si>
    <t>Pool 1</t>
  </si>
  <si>
    <t>Spa Resurface/Tile</t>
  </si>
  <si>
    <t>Pool 2</t>
  </si>
  <si>
    <t>Spa Heater</t>
  </si>
  <si>
    <t>Pool 3</t>
  </si>
  <si>
    <t>Pool 4</t>
  </si>
  <si>
    <t>Pool 5</t>
  </si>
  <si>
    <t>Pool 6</t>
  </si>
  <si>
    <t>Pool 7</t>
  </si>
  <si>
    <t>Pool 8</t>
  </si>
  <si>
    <t>Spa Filter</t>
  </si>
  <si>
    <t>Pool Salt Cells</t>
  </si>
  <si>
    <t>Fountain Pumps</t>
  </si>
  <si>
    <t>Pool 9</t>
  </si>
  <si>
    <t>Pool/Spa Resurface</t>
  </si>
  <si>
    <t>Pool/Spa Deck Resurface</t>
  </si>
  <si>
    <t>Percent Change - (Increase)/Decrease</t>
  </si>
  <si>
    <t>Operating</t>
  </si>
  <si>
    <t>Reserve</t>
  </si>
  <si>
    <t>0105-61900-0000</t>
  </si>
  <si>
    <t>0108-60660-0000</t>
  </si>
  <si>
    <t>0109-61110-6406</t>
  </si>
  <si>
    <t>0109-61110-6470</t>
  </si>
  <si>
    <t>0109-61110-6500</t>
  </si>
  <si>
    <t>0109-61110-6351</t>
  </si>
  <si>
    <t>0109-61110-6460</t>
  </si>
  <si>
    <t>0109-61110-6510</t>
  </si>
  <si>
    <t>0109-61110-6330</t>
  </si>
  <si>
    <t>0109-61110-6385</t>
  </si>
  <si>
    <t>Description</t>
  </si>
  <si>
    <t>0109-61110-6000</t>
  </si>
  <si>
    <t>Bad Debt Expense Res</t>
  </si>
  <si>
    <t>Contribution to Reserves</t>
  </si>
  <si>
    <t>0109-61110-6145</t>
  </si>
  <si>
    <t>0109-61110-6150</t>
  </si>
  <si>
    <t>Contrib to Sp Assessment</t>
  </si>
  <si>
    <t>0109-61110-6310</t>
  </si>
  <si>
    <t>Rpr-2nd Floor Balcony</t>
  </si>
  <si>
    <t>0109-61110-6315</t>
  </si>
  <si>
    <t>Balconies</t>
  </si>
  <si>
    <t>Front Gate</t>
  </si>
  <si>
    <t>Equipment</t>
  </si>
  <si>
    <t>Security Equipment</t>
  </si>
  <si>
    <t>Pool Area BBQ</t>
  </si>
  <si>
    <t>Pool Area Fencing and Gates</t>
  </si>
  <si>
    <t>Pool/Spa Heaters</t>
  </si>
  <si>
    <t>Pool/Pond Filters/Pump</t>
  </si>
  <si>
    <t>Ground Lights</t>
  </si>
  <si>
    <t>0109-61110-6365</t>
  </si>
  <si>
    <t>Termite Extermination</t>
  </si>
  <si>
    <t>0109-61110-6370</t>
  </si>
  <si>
    <t>Speed Bumps/Driveways</t>
  </si>
  <si>
    <t>Street Asphault Overlay</t>
  </si>
  <si>
    <t>Pool/Fountain Lights</t>
  </si>
  <si>
    <t>0109-61110-6380</t>
  </si>
  <si>
    <t>Umbrellas</t>
  </si>
  <si>
    <t>Signage Program</t>
  </si>
  <si>
    <t>0109-61110-6390</t>
  </si>
  <si>
    <t>Tennis Screens</t>
  </si>
  <si>
    <t>0109-61110-6395</t>
  </si>
  <si>
    <t>HOA Shed</t>
  </si>
  <si>
    <t>0109-61110-6400</t>
  </si>
  <si>
    <t>Roof Repair</t>
  </si>
  <si>
    <t>0109-61110-6405</t>
  </si>
  <si>
    <t>Landscaping Start Up</t>
  </si>
  <si>
    <t>Landscaping-Desertscape</t>
  </si>
  <si>
    <t>Concrete Repairs</t>
  </si>
  <si>
    <t>Tree Planting/Removal</t>
  </si>
  <si>
    <t>Resort Signage</t>
  </si>
  <si>
    <t>0109-61110-6440</t>
  </si>
  <si>
    <t>Lake Motors</t>
  </si>
  <si>
    <t>0109-61110-6450</t>
  </si>
  <si>
    <t>Drainage Remediation</t>
  </si>
  <si>
    <t>Paint</t>
  </si>
  <si>
    <t>0109-61110-6480</t>
  </si>
  <si>
    <t>Beams</t>
  </si>
  <si>
    <t>0109-61110-6490</t>
  </si>
  <si>
    <t>Cabana Roofing</t>
  </si>
  <si>
    <t>0109-61110-6520</t>
  </si>
  <si>
    <t>0109-61110-6377</t>
  </si>
  <si>
    <t>Actual</t>
  </si>
  <si>
    <t>**Forecast</t>
  </si>
  <si>
    <t>Jan</t>
  </si>
  <si>
    <t>Feb</t>
  </si>
  <si>
    <t>Mar</t>
  </si>
  <si>
    <t>Apr</t>
  </si>
  <si>
    <t>May</t>
  </si>
  <si>
    <t>Jun</t>
  </si>
  <si>
    <t>Jul</t>
  </si>
  <si>
    <t>**Oct</t>
  </si>
  <si>
    <t>**Nov</t>
  </si>
  <si>
    <t>**Dec</t>
  </si>
  <si>
    <t>+ Forcast</t>
  </si>
  <si>
    <t>Full Year</t>
  </si>
  <si>
    <t xml:space="preserve">  Late Charge Income</t>
  </si>
  <si>
    <t>0000-40045-0000</t>
  </si>
  <si>
    <t xml:space="preserve">  Contribution from VI</t>
  </si>
  <si>
    <t xml:space="preserve">  Legal Expenses</t>
  </si>
  <si>
    <t xml:space="preserve">  Insurance-Dir &amp; Officers</t>
  </si>
  <si>
    <t xml:space="preserve">  Repair/Maint-Driveways/Rds</t>
  </si>
  <si>
    <t xml:space="preserve">  Repair/Maint-Buildings</t>
  </si>
  <si>
    <t xml:space="preserve">  Repair/Maint-Pipes/Sprinkler</t>
  </si>
  <si>
    <t xml:space="preserve">  Repair/Maint-Pool/Spa</t>
  </si>
  <si>
    <t>NET SURPLUS (DEFICIT)</t>
  </si>
  <si>
    <t>Life</t>
  </si>
  <si>
    <t>General</t>
  </si>
  <si>
    <t>Total</t>
  </si>
  <si>
    <t>Camera, Front Gate</t>
  </si>
  <si>
    <t>Electrical Wiring</t>
  </si>
  <si>
    <t>Sandblasting Sidewalk</t>
  </si>
  <si>
    <t>Desert Landscape</t>
  </si>
  <si>
    <t>Tree removal and replace</t>
  </si>
  <si>
    <t>Deck Coating</t>
  </si>
  <si>
    <t>Deck Concrete</t>
  </si>
  <si>
    <t>Deck Skimmers</t>
  </si>
  <si>
    <t>Spa pumpsets, Jet</t>
  </si>
  <si>
    <t>Pool Pumpset</t>
  </si>
  <si>
    <t>Pool Filter</t>
  </si>
  <si>
    <t>Pool Resurface/Tile</t>
  </si>
  <si>
    <t>Furniture, Restrap</t>
  </si>
  <si>
    <t>Court Resurface, Grand Slam</t>
  </si>
  <si>
    <t>Fountain Pumps, Submersible</t>
  </si>
  <si>
    <t>Roadway, Stampcrete</t>
  </si>
  <si>
    <t>Court Resurface, Wimbledon</t>
  </si>
  <si>
    <t>Aug</t>
  </si>
  <si>
    <t>Sep</t>
  </si>
  <si>
    <t>Card Readers, Front Gate</t>
  </si>
  <si>
    <t>Oasis Villa Resort HOA</t>
  </si>
  <si>
    <t>Camera, Golf Carts</t>
  </si>
  <si>
    <t>Stampcrete, Entry</t>
  </si>
  <si>
    <t>Concrete, Sidewalks</t>
  </si>
  <si>
    <t>Signage</t>
  </si>
  <si>
    <t>Pool Pump, Variable Speed</t>
  </si>
  <si>
    <t>0109-61110-6378</t>
  </si>
  <si>
    <t>0109-61110-6411</t>
  </si>
  <si>
    <t>Fountain Repair</t>
  </si>
  <si>
    <t>Budget 2019</t>
  </si>
  <si>
    <t xml:space="preserve"> Increase in Reserve contribuion</t>
  </si>
  <si>
    <t>Seal/Stripe/repair/Crack/fill</t>
  </si>
  <si>
    <t>Pool Heaters</t>
  </si>
  <si>
    <t>1% of gross</t>
  </si>
  <si>
    <t>2% of gross</t>
  </si>
  <si>
    <t>Electricity ground lights only</t>
  </si>
  <si>
    <t>Supplies - Tennis/basketball</t>
  </si>
  <si>
    <t xml:space="preserve">  Insurance Claims</t>
  </si>
  <si>
    <t>0108-60656-0000</t>
  </si>
  <si>
    <t>Spa Pumpset, Circulation</t>
  </si>
  <si>
    <t>2020 Budget Comparison</t>
  </si>
  <si>
    <t>Est Act 2019</t>
  </si>
  <si>
    <t>Budget 2020</t>
  </si>
  <si>
    <t>Bank Fee</t>
  </si>
  <si>
    <t>0105-60736-0000</t>
  </si>
  <si>
    <t>reflects all pools heated</t>
  </si>
  <si>
    <t>irrigation leaks</t>
  </si>
  <si>
    <t>ACCTG</t>
  </si>
  <si>
    <t>with staff</t>
  </si>
  <si>
    <t>with staff/w/o staff 5820 per month</t>
  </si>
  <si>
    <t>% of Budget</t>
  </si>
  <si>
    <t>Village</t>
  </si>
  <si>
    <t>CA</t>
  </si>
  <si>
    <t>Property - Primary</t>
  </si>
  <si>
    <t>Property - Excess</t>
  </si>
  <si>
    <t>General Liability</t>
  </si>
  <si>
    <t xml:space="preserve">Crime </t>
  </si>
  <si>
    <t>D &amp; O</t>
  </si>
  <si>
    <t>Master</t>
  </si>
  <si>
    <t>Workers Comp</t>
  </si>
  <si>
    <t>All Bldgs</t>
  </si>
  <si>
    <t>Monthly Amount</t>
  </si>
  <si>
    <t>Monthly Amt</t>
  </si>
  <si>
    <t>Intercom, Replace</t>
  </si>
  <si>
    <t>Water Lines-Repair</t>
  </si>
  <si>
    <t>Irrigation</t>
  </si>
  <si>
    <t>Signage, Repair/Paint</t>
  </si>
  <si>
    <t>Court Resurface, French Open</t>
  </si>
  <si>
    <t>Windscreen</t>
  </si>
  <si>
    <t>Asphalt &amp; Concrete</t>
  </si>
  <si>
    <t>Domestic Water</t>
  </si>
  <si>
    <t>Electrical/Lights</t>
  </si>
  <si>
    <t>Pole Lights</t>
  </si>
  <si>
    <t>Electrical Panels - Replace</t>
  </si>
  <si>
    <t>Tennis Court Lighting - Replace</t>
  </si>
  <si>
    <t>Fence/Gates/Walls</t>
  </si>
  <si>
    <t>Landscape &amp; Irrigation</t>
  </si>
  <si>
    <t>Metal Fence/Gates - Paint/Repair</t>
  </si>
  <si>
    <t>Stucco Repair</t>
  </si>
  <si>
    <t>Wood Surfaces - Repaint</t>
  </si>
  <si>
    <t>Pool &amp; Spa</t>
  </si>
  <si>
    <t>Water Features</t>
  </si>
  <si>
    <t>Fountain Pumps - Replace</t>
  </si>
  <si>
    <t>Access System</t>
  </si>
  <si>
    <t>Fences /Gates/Walls</t>
  </si>
  <si>
    <t>Umbrella</t>
  </si>
  <si>
    <t>Oasis Villa Resort HOA Estimated Actuals</t>
  </si>
  <si>
    <t xml:space="preserve">  Gas Actual/Est Act</t>
  </si>
  <si>
    <t xml:space="preserve">  Water/Sewer Actual/Est Act</t>
  </si>
  <si>
    <t xml:space="preserve">  Electricity Actual/Est Act</t>
  </si>
  <si>
    <t>Monthly Proof</t>
  </si>
  <si>
    <t>0109-61110-6331</t>
  </si>
  <si>
    <t>0109-61110-6372</t>
  </si>
  <si>
    <t>0109-61110-6611</t>
  </si>
  <si>
    <t>0109-61110-6720</t>
  </si>
  <si>
    <t>0109-61110-6332</t>
  </si>
  <si>
    <t>Tree Removal</t>
  </si>
  <si>
    <t>Pool, Spa Filters/Pump</t>
  </si>
  <si>
    <t xml:space="preserve">Spectrum Cable is the vendor. </t>
  </si>
  <si>
    <t>This is for repair and maintaining the fountain on Lot 2</t>
  </si>
  <si>
    <t>2023 Reserve Contribution</t>
  </si>
  <si>
    <t>2022 Insurance Calculation</t>
  </si>
  <si>
    <t>2021 Proposal</t>
  </si>
  <si>
    <t>2022 Proposal</t>
  </si>
  <si>
    <t>2023 Reserve Items Detail</t>
  </si>
  <si>
    <t>70% gross bill</t>
  </si>
  <si>
    <t>2023 Electric Budget</t>
  </si>
  <si>
    <t>2023 Gas Budget</t>
  </si>
  <si>
    <t>2023 Water/Sewer Budget</t>
  </si>
  <si>
    <t>2023 Utilities Schedule</t>
  </si>
  <si>
    <t>Electric Bill - Meter No 259000-005933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</si>
  <si>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</si>
  <si>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</si>
  <si>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</si>
  <si>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</si>
  <si>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</si>
  <si>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</si>
  <si>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</si>
  <si>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</si>
  <si>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</si>
  <si>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</si>
  <si>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</si>
  <si>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</si>
  <si>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Supplies-Ground Lights</t>
  </si>
  <si>
    <t>Electric-Common Area</t>
  </si>
  <si>
    <t xml:space="preserve">VI pays Electric bill for clubhouse which encludes the pool/spa Etc. </t>
  </si>
  <si>
    <t>Comments</t>
  </si>
  <si>
    <t>Contract-Landscaping</t>
  </si>
  <si>
    <t>Beginning Retained Earnings</t>
  </si>
  <si>
    <t>A monthly service charge of $1,400 is for accounting services</t>
  </si>
  <si>
    <t>$100 in September for PO Box</t>
  </si>
  <si>
    <t>No Payroll</t>
  </si>
  <si>
    <t>2022 Operating Deficit</t>
  </si>
  <si>
    <t>0109-61110-6404</t>
  </si>
  <si>
    <t>2023 Maintenace Dues</t>
  </si>
  <si>
    <t>2024 Maintenance Fees</t>
  </si>
  <si>
    <t xml:space="preserve">2024 Per Month </t>
  </si>
  <si>
    <t>2024 Operating Budget</t>
  </si>
  <si>
    <t>2024 Reserve Budget</t>
  </si>
  <si>
    <t>2024 Per Unit/Month Distribution &amp; Comparison</t>
  </si>
  <si>
    <t>2024 Reserve Contribution</t>
  </si>
  <si>
    <t xml:space="preserve">Total 2024   Fees </t>
  </si>
  <si>
    <t xml:space="preserve">Total 2023 Fees </t>
  </si>
  <si>
    <t>2024 Budget Comparison</t>
  </si>
  <si>
    <t>2024 Budget Detail</t>
  </si>
  <si>
    <t xml:space="preserve">  Insurance Workers Comp</t>
  </si>
  <si>
    <t>**Sep</t>
  </si>
  <si>
    <t xml:space="preserve">  Workers Comp/Misc</t>
  </si>
  <si>
    <t xml:space="preserve">  Bank Fees</t>
  </si>
  <si>
    <t xml:space="preserve">  Insurance-Liability</t>
  </si>
  <si>
    <t xml:space="preserve">  Insurance-Property</t>
  </si>
  <si>
    <t>0108-60657-0000</t>
  </si>
  <si>
    <t xml:space="preserve">  Front Gate</t>
  </si>
  <si>
    <t xml:space="preserve">  Access System</t>
  </si>
  <si>
    <t xml:space="preserve">  Pool &amp; Spa</t>
  </si>
  <si>
    <t xml:space="preserve">  Pool Area Fencing and Gates</t>
  </si>
  <si>
    <t xml:space="preserve">  Pool Furniture</t>
  </si>
  <si>
    <t xml:space="preserve">  Pool Heaters</t>
  </si>
  <si>
    <t xml:space="preserve">  Asphalt &amp; Concrete</t>
  </si>
  <si>
    <t xml:space="preserve">  Signage Program</t>
  </si>
  <si>
    <t xml:space="preserve">  Landscape &amp; Irrigation</t>
  </si>
  <si>
    <t xml:space="preserve">  Electrical</t>
  </si>
  <si>
    <t xml:space="preserve">  Reserve Study</t>
  </si>
  <si>
    <t xml:space="preserve">  Beams-Dumpster Areas</t>
  </si>
  <si>
    <t xml:space="preserve">  Beams-Bus Stop</t>
  </si>
  <si>
    <t xml:space="preserve">  Lake Motors</t>
  </si>
  <si>
    <t xml:space="preserve">  Fences, Gates, Walls</t>
  </si>
  <si>
    <t xml:space="preserve">  Domestic Water</t>
  </si>
  <si>
    <t>Forecast For Month Ended 7/31/23</t>
  </si>
  <si>
    <t>VI Resorts Offset Worksheet for 2024 budget</t>
  </si>
  <si>
    <t>FOR CALENDAR YEAR 2024</t>
  </si>
  <si>
    <t>Asphault Repairs</t>
  </si>
  <si>
    <t>Trash Gates</t>
  </si>
  <si>
    <t>Fencing-Metal</t>
  </si>
  <si>
    <t>Tennis Court Fencing-Replace</t>
  </si>
  <si>
    <t>Tennis Light Fixtures-Repaint</t>
  </si>
  <si>
    <t>BBQ-Replace</t>
  </si>
  <si>
    <t>Planters</t>
  </si>
  <si>
    <t>Pool Salt System-Replace</t>
  </si>
  <si>
    <t>Umbrellas-Replace</t>
  </si>
  <si>
    <t>Furniture, Replace 1,2</t>
  </si>
  <si>
    <t>0109-601110-6400</t>
  </si>
  <si>
    <t xml:space="preserve">  </t>
  </si>
  <si>
    <t>Insurance Liability</t>
  </si>
  <si>
    <t>Insurance - Property</t>
  </si>
  <si>
    <t>Insurance-Liability</t>
  </si>
  <si>
    <t>2023 OPERATING DEFICIT</t>
  </si>
  <si>
    <t>Outside service to maintain the fire extinguishers.  Inspected once</t>
  </si>
  <si>
    <t>spas. PWLC cleans and stabilizes chemicals in all water-</t>
  </si>
  <si>
    <t>Annual tax preparation as well as financial review by CPA as required CA Civil Code</t>
  </si>
  <si>
    <t>for associations with revenue in excess of $75,000</t>
  </si>
  <si>
    <t>Palm Springs health permit, fire dept permits, Reiverside County pool permits</t>
  </si>
  <si>
    <t>This category includes postage and and any other items not included in any other account.</t>
  </si>
  <si>
    <t>The associaton has no significant amount of bad debt</t>
  </si>
  <si>
    <t>Insurance-Workman's Comp</t>
  </si>
  <si>
    <t>Contract - Security</t>
  </si>
  <si>
    <t>Insurance to cover board of directors with a 15% increase scheduled  in April.</t>
  </si>
  <si>
    <t xml:space="preserve">Insurance provides for property loss with a 15% increase scheduled </t>
  </si>
  <si>
    <t>in April.</t>
  </si>
  <si>
    <t xml:space="preserve">This covers only the labor and supplies cost  to maintain the pools and the </t>
  </si>
  <si>
    <t xml:space="preserve">scapes, fountains, pools &amp; spas,  timesix per week. </t>
  </si>
  <si>
    <t>Expense for this account have been transferred to reserve</t>
  </si>
  <si>
    <t>exceed $1.500</t>
  </si>
  <si>
    <t>Repair or replacement of existing pipes and sprinklers with cost not to exceed</t>
  </si>
  <si>
    <t>Buildings/Gate</t>
  </si>
  <si>
    <t>Included in this account is the repair to pumps and motors, etc. with cost</t>
  </si>
  <si>
    <t>of any repair not to exceed $1,000</t>
  </si>
  <si>
    <t xml:space="preserve">The lancdscaping contract with PWLC includes all supplies and 6 days per week </t>
  </si>
  <si>
    <t>sevice.  The 2024 contract includes an increase of 4% over 2023 effective January.</t>
  </si>
  <si>
    <t>Includes landscaping expenses not covered by PWLC</t>
  </si>
  <si>
    <t>Oasis Resort Homeowners 2024 Maintenance Fees Anaylsis</t>
  </si>
  <si>
    <t>Annual Meeting</t>
  </si>
  <si>
    <t xml:space="preserve">  Annual Meeting</t>
  </si>
  <si>
    <t>new account</t>
  </si>
  <si>
    <t>Professional Fees, Accounting</t>
  </si>
  <si>
    <t>Contract Svc Accounting</t>
  </si>
  <si>
    <t>Also includes bond fee.</t>
  </si>
  <si>
    <t>Fees associated with the annual meeting to include inspector of elections</t>
  </si>
  <si>
    <t>Amount is based upon 2022 useage with current pricing</t>
  </si>
  <si>
    <t>with increase adjustments for December, Janaury, and February</t>
  </si>
  <si>
    <t xml:space="preserve">Heat for pools and spas. Based on 2023 useage with current pricing </t>
  </si>
  <si>
    <t>Increase is due to increased pickups</t>
  </si>
  <si>
    <t>Insurance for injury or damage</t>
  </si>
  <si>
    <t xml:space="preserve">The 2024 Vacation Internationale offset is </t>
  </si>
  <si>
    <t>Contracted Svc-Security</t>
  </si>
  <si>
    <t>Insurance- WC</t>
  </si>
  <si>
    <t>Local License/</t>
  </si>
  <si>
    <t>Inspection Fees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</si>
</sst>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&quot;$&quot;#,##0.00;[Red]\(&quot;$&quot;#,##0.00\)"/>
    <numFmt numFmtId="166" formatCode="0.0%;[Red]\(0.0%\)"/>
    <numFmt numFmtId="167" formatCode="mm/dd/yy"/>
    <numFmt numFmtId="168" formatCode="#,##0.00&quot;%&quot;_);[Red]\(#,##0.00&quot;%&quot;\)"/>
    <numFmt numFmtId="169" formatCode="hh:mm\ AM/PM"/>
    <numFmt numFmtId="170" formatCode="#,##0%_);[Red]\(#,##0%\)"/>
    <numFmt numFmtId="171" formatCode="#,##0.0%_);\(#,##0.0%\)"/>
    <numFmt numFmtId="172" formatCode="#,##0,,_);[Red]\(#,##0\)"/>
    <numFmt numFmtId="173" formatCode="#,##0,_);[Red]\(#,##0\)"/>
    <numFmt numFmtId="174" formatCode="#,#00_);[Red]\(#,##0\)"/>
    <numFmt numFmtId="175" formatCode="_(* #,##0_);_(* \(#,##0\);_(* &quot;-&quot;??_);_(@_)"/>
    <numFmt numFmtId="176" formatCode="0%;\(0%\)"/>
    <numFmt numFmtId="177" formatCode="#,##0.000"/>
    <numFmt numFmtId="178" formatCode="#,##0.0"/>
    <numFmt numFmtId="179" formatCode="0.0%_);[Red]\(0.0%\)"/>
    <numFmt numFmtId="180" formatCode="0_);[Red]\(0\)"/>
    <numFmt numFmtId="181" formatCode="#,##0.0_);[Red]\(#,##0.0\)"/>
    <numFmt numFmtId="182" formatCode="_(* #,##0.0000_);_(* \(#,##0.0000\);_(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(* #,##0.0_);_(* \(#,##0.0\);_(* &quot;-&quot;??_);_(@_)"/>
    <numFmt numFmtId="186" formatCode="&quot;$&quot;#,##0.0_);[Red]\(&quot;$&quot;#,##0.0\)"/>
    <numFmt numFmtId="187" formatCode="_(* #,##0.000_);_(* \(#,##0.000\);_(* &quot;-&quot;??_);_(@_)"/>
    <numFmt numFmtId="188" formatCode="0.0"/>
    <numFmt numFmtId="189" formatCode="#,##0.00;\&lt;#,##0.00\&gt;"/>
    <numFmt numFmtId="190" formatCode="m/d/yy"/>
    <numFmt numFmtId="191" formatCode="0.0%"/>
    <numFmt numFmtId="192" formatCode="&quot;$&quot;#,##0"/>
    <numFmt numFmtId="193" formatCode="mmm\-yyyy"/>
    <numFmt numFmtId="194" formatCode="[$-409]dddd\,\ mmmm\ dd\,\ yyyy"/>
    <numFmt numFmtId="195" formatCode="#,###,#00;\(#,###,#00\)"/>
    <numFmt numFmtId="196" formatCode="m/d/yy;@"/>
    <numFmt numFmtId="197" formatCode="#,##0.0000"/>
    <numFmt numFmtId="198" formatCode="#,##0.0;[Red]\(#,##0.0\)"/>
    <numFmt numFmtId="199" formatCode="#,##0;[Red]\(#,##0\)"/>
    <numFmt numFmtId="200" formatCode="#,###,#00.0;\(#,###,#00.0\)"/>
    <numFmt numFmtId="201" formatCode="#,###,#00.00;\(#,###,#00.00\)"/>
  </numFmts>
  <fonts count="84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u val="single"/>
      <sz val="8"/>
      <color indexed="36"/>
      <name val="Courier"/>
      <family val="3"/>
    </font>
    <font>
      <u val="single"/>
      <sz val="8"/>
      <color indexed="12"/>
      <name val="Courier"/>
      <family val="3"/>
    </font>
    <font>
      <sz val="10"/>
      <name val="Courier"/>
      <family val="3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Roman"/>
      <family val="0"/>
    </font>
    <font>
      <b/>
      <sz val="12"/>
      <name val="Times Roman"/>
      <family val="0"/>
    </font>
    <font>
      <sz val="12"/>
      <name val="Times Roman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Times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Roman"/>
      <family val="0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.85"/>
      <name val="Arial"/>
      <family val="2"/>
    </font>
    <font>
      <sz val="12"/>
      <name val="Times New Roman"/>
      <family val="1"/>
    </font>
    <font>
      <b/>
      <sz val="14"/>
      <name val="Times Roman"/>
      <family val="0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5"/>
      <color indexed="8"/>
      <name val="Arial"/>
      <family val="2"/>
    </font>
    <font>
      <b/>
      <sz val="8.85"/>
      <color indexed="8"/>
      <name val="Arial"/>
      <family val="2"/>
    </font>
    <font>
      <b/>
      <sz val="8.85"/>
      <color indexed="10"/>
      <name val="Arial"/>
      <family val="2"/>
    </font>
    <font>
      <b/>
      <i/>
      <sz val="9.75"/>
      <color indexed="12"/>
      <name val="Arial"/>
      <family val="2"/>
    </font>
    <font>
      <b/>
      <i/>
      <sz val="9.75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5"/>
      <color rgb="FF000000"/>
      <name val="Arial"/>
      <family val="2"/>
    </font>
    <font>
      <b/>
      <sz val="8.85"/>
      <color rgb="FF000000"/>
      <name val="Arial"/>
      <family val="2"/>
    </font>
    <font>
      <b/>
      <sz val="8.85"/>
      <color rgb="FFFF0000"/>
      <name val="Arial"/>
      <family val="2"/>
    </font>
    <font>
      <b/>
      <i/>
      <sz val="9.75"/>
      <color rgb="FF0000FF"/>
      <name val="Arial"/>
      <family val="2"/>
    </font>
    <font>
      <b/>
      <i/>
      <sz val="9.75"/>
      <color rgb="FFFF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4EF8A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hair"/>
    </border>
    <border>
      <left style="hair"/>
      <right style="hair"/>
      <top style="medium"/>
      <bottom style="hair"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FF0000"/>
      </bottom>
    </border>
    <border>
      <left/>
      <right/>
      <top/>
      <bottom style="double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>
      <alignment horizontal="right"/>
    </xf>
    <xf numFmtId="0" fontId="0" fillId="0" borderId="0" xfId="0" applyAlignment="1" applyProtection="1">
      <alignment horizontal="fill"/>
      <protection locked="0"/>
    </xf>
    <xf numFmtId="37" fontId="6" fillId="0" borderId="0" xfId="63" applyNumberFormat="1" applyFont="1" applyAlignment="1">
      <alignment horizontal="left"/>
      <protection/>
    </xf>
    <xf numFmtId="0" fontId="7" fillId="0" borderId="0" xfId="63" applyFont="1">
      <alignment/>
      <protection/>
    </xf>
    <xf numFmtId="38" fontId="7" fillId="0" borderId="0" xfId="63" applyNumberFormat="1" applyFont="1">
      <alignment/>
      <protection/>
    </xf>
    <xf numFmtId="38" fontId="8" fillId="0" borderId="0" xfId="63" applyNumberFormat="1" applyFont="1">
      <alignment/>
      <protection/>
    </xf>
    <xf numFmtId="176" fontId="7" fillId="0" borderId="0" xfId="63" applyNumberFormat="1" applyFont="1">
      <alignment/>
      <protection/>
    </xf>
    <xf numFmtId="0" fontId="9" fillId="0" borderId="0" xfId="63" applyFont="1">
      <alignment/>
      <protection/>
    </xf>
    <xf numFmtId="176" fontId="9" fillId="0" borderId="0" xfId="63" applyNumberFormat="1" applyFont="1">
      <alignment/>
      <protection/>
    </xf>
    <xf numFmtId="1" fontId="7" fillId="0" borderId="0" xfId="63" applyNumberFormat="1" applyFont="1" applyAlignment="1">
      <alignment horizontal="left"/>
      <protection/>
    </xf>
    <xf numFmtId="37" fontId="10" fillId="0" borderId="0" xfId="63" applyNumberFormat="1" applyFont="1" applyAlignment="1">
      <alignment horizontal="left"/>
      <protection/>
    </xf>
    <xf numFmtId="1" fontId="7" fillId="1" borderId="0" xfId="63" applyNumberFormat="1" applyFont="1" applyFill="1" applyAlignment="1">
      <alignment horizontal="left"/>
      <protection/>
    </xf>
    <xf numFmtId="0" fontId="7" fillId="1" borderId="0" xfId="63" applyFont="1" applyFill="1">
      <alignment/>
      <protection/>
    </xf>
    <xf numFmtId="38" fontId="7" fillId="1" borderId="10" xfId="63" applyNumberFormat="1" applyFont="1" applyFill="1" applyBorder="1" applyAlignment="1">
      <alignment horizontal="center"/>
      <protection/>
    </xf>
    <xf numFmtId="38" fontId="7" fillId="1" borderId="0" xfId="63" applyNumberFormat="1" applyFont="1" applyFill="1" applyAlignment="1">
      <alignment horizontal="center"/>
      <protection/>
    </xf>
    <xf numFmtId="38" fontId="7" fillId="1" borderId="0" xfId="63" applyNumberFormat="1" applyFont="1" applyFill="1">
      <alignment/>
      <protection/>
    </xf>
    <xf numFmtId="176" fontId="7" fillId="1" borderId="0" xfId="63" applyNumberFormat="1" applyFont="1" applyFill="1">
      <alignment/>
      <protection/>
    </xf>
    <xf numFmtId="38" fontId="7" fillId="1" borderId="0" xfId="63" applyNumberFormat="1" applyFont="1" applyFill="1" applyAlignment="1" applyProtection="1" quotePrefix="1">
      <alignment horizontal="center"/>
      <protection locked="0"/>
    </xf>
    <xf numFmtId="0" fontId="9" fillId="1" borderId="0" xfId="63" applyFont="1" applyFill="1">
      <alignment/>
      <protection/>
    </xf>
    <xf numFmtId="176" fontId="7" fillId="1" borderId="0" xfId="63" applyNumberFormat="1" applyFont="1" applyFill="1" applyAlignment="1">
      <alignment horizontal="center"/>
      <protection/>
    </xf>
    <xf numFmtId="0" fontId="7" fillId="1" borderId="0" xfId="63" applyFont="1" applyFill="1" applyAlignment="1">
      <alignment horizontal="center"/>
      <protection/>
    </xf>
    <xf numFmtId="38" fontId="7" fillId="0" borderId="10" xfId="63" applyNumberFormat="1" applyFont="1" applyBorder="1" applyAlignment="1">
      <alignment horizontal="center"/>
      <protection/>
    </xf>
    <xf numFmtId="38" fontId="7" fillId="0" borderId="0" xfId="63" applyNumberFormat="1" applyFont="1" applyAlignment="1">
      <alignment horizontal="center"/>
      <protection/>
    </xf>
    <xf numFmtId="176" fontId="7" fillId="0" borderId="0" xfId="63" applyNumberFormat="1" applyFont="1" applyAlignment="1">
      <alignment horizontal="center"/>
      <protection/>
    </xf>
    <xf numFmtId="1" fontId="11" fillId="33" borderId="0" xfId="63" applyNumberFormat="1" applyFont="1" applyFill="1" applyAlignment="1">
      <alignment horizontal="left"/>
      <protection/>
    </xf>
    <xf numFmtId="0" fontId="7" fillId="33" borderId="0" xfId="63" applyFont="1" applyFill="1">
      <alignment/>
      <protection/>
    </xf>
    <xf numFmtId="37" fontId="7" fillId="0" borderId="11" xfId="63" applyNumberFormat="1" applyFont="1" applyBorder="1">
      <alignment/>
      <protection/>
    </xf>
    <xf numFmtId="37" fontId="7" fillId="0" borderId="12" xfId="63" applyNumberFormat="1" applyFont="1" applyBorder="1">
      <alignment/>
      <protection/>
    </xf>
    <xf numFmtId="176" fontId="7" fillId="0" borderId="12" xfId="63" applyNumberFormat="1" applyFont="1" applyBorder="1">
      <alignment/>
      <protection/>
    </xf>
    <xf numFmtId="176" fontId="7" fillId="0" borderId="13" xfId="63" applyNumberFormat="1" applyFont="1" applyBorder="1">
      <alignment/>
      <protection/>
    </xf>
    <xf numFmtId="38" fontId="9" fillId="0" borderId="14" xfId="63" applyNumberFormat="1" applyFont="1" applyBorder="1" applyProtection="1">
      <alignment/>
      <protection locked="0"/>
    </xf>
    <xf numFmtId="38" fontId="7" fillId="33" borderId="0" xfId="63" applyNumberFormat="1" applyFont="1" applyFill="1" applyAlignment="1">
      <alignment horizontal="center"/>
      <protection/>
    </xf>
    <xf numFmtId="0" fontId="7" fillId="33" borderId="0" xfId="63" applyFont="1" applyFill="1" applyAlignment="1">
      <alignment horizontal="center"/>
      <protection/>
    </xf>
    <xf numFmtId="38" fontId="7" fillId="33" borderId="10" xfId="63" applyNumberFormat="1" applyFont="1" applyFill="1" applyBorder="1" applyAlignment="1">
      <alignment horizontal="center"/>
      <protection/>
    </xf>
    <xf numFmtId="176" fontId="7" fillId="33" borderId="0" xfId="63" applyNumberFormat="1" applyFont="1" applyFill="1" applyAlignment="1">
      <alignment horizontal="center"/>
      <protection/>
    </xf>
    <xf numFmtId="1" fontId="7" fillId="33" borderId="0" xfId="63" applyNumberFormat="1" applyFont="1" applyFill="1" applyAlignment="1">
      <alignment horizontal="left"/>
      <protection/>
    </xf>
    <xf numFmtId="1" fontId="9" fillId="0" borderId="0" xfId="63" applyNumberFormat="1" applyFont="1">
      <alignment/>
      <protection/>
    </xf>
    <xf numFmtId="1" fontId="9" fillId="0" borderId="0" xfId="63" applyNumberFormat="1" applyFont="1" applyAlignment="1">
      <alignment horizontal="left"/>
      <protection/>
    </xf>
    <xf numFmtId="37" fontId="9" fillId="0" borderId="10" xfId="63" applyNumberFormat="1" applyFont="1" applyBorder="1">
      <alignment/>
      <protection/>
    </xf>
    <xf numFmtId="37" fontId="9" fillId="0" borderId="0" xfId="63" applyNumberFormat="1" applyFont="1">
      <alignment/>
      <protection/>
    </xf>
    <xf numFmtId="38" fontId="9" fillId="0" borderId="0" xfId="63" applyNumberFormat="1" applyFont="1" applyProtection="1">
      <alignment/>
      <protection locked="0"/>
    </xf>
    <xf numFmtId="0" fontId="9" fillId="0" borderId="0" xfId="63" applyFont="1" applyProtection="1">
      <alignment/>
      <protection locked="0"/>
    </xf>
    <xf numFmtId="37" fontId="7" fillId="0" borderId="10" xfId="63" applyNumberFormat="1" applyFont="1" applyBorder="1">
      <alignment/>
      <protection/>
    </xf>
    <xf numFmtId="37" fontId="7" fillId="0" borderId="0" xfId="63" applyNumberFormat="1" applyFont="1">
      <alignment/>
      <protection/>
    </xf>
    <xf numFmtId="38" fontId="7" fillId="0" borderId="15" xfId="63" applyNumberFormat="1" applyFont="1" applyBorder="1" applyProtection="1">
      <alignment/>
      <protection locked="0"/>
    </xf>
    <xf numFmtId="38" fontId="7" fillId="0" borderId="0" xfId="63" applyNumberFormat="1" applyFont="1" applyProtection="1">
      <alignment/>
      <protection locked="0"/>
    </xf>
    <xf numFmtId="0" fontId="7" fillId="0" borderId="0" xfId="63" applyFont="1" applyProtection="1">
      <alignment/>
      <protection locked="0"/>
    </xf>
    <xf numFmtId="1" fontId="11" fillId="0" borderId="0" xfId="63" applyNumberFormat="1" applyFont="1">
      <alignment/>
      <protection/>
    </xf>
    <xf numFmtId="37" fontId="7" fillId="0" borderId="16" xfId="63" applyNumberFormat="1" applyFont="1" applyBorder="1">
      <alignment/>
      <protection/>
    </xf>
    <xf numFmtId="37" fontId="7" fillId="33" borderId="10" xfId="63" applyNumberFormat="1" applyFont="1" applyFill="1" applyBorder="1" applyAlignment="1">
      <alignment horizontal="center"/>
      <protection/>
    </xf>
    <xf numFmtId="37" fontId="7" fillId="33" borderId="0" xfId="63" applyNumberFormat="1" applyFont="1" applyFill="1" applyAlignment="1">
      <alignment horizontal="center"/>
      <protection/>
    </xf>
    <xf numFmtId="38" fontId="9" fillId="0" borderId="15" xfId="63" applyNumberFormat="1" applyFont="1" applyBorder="1" applyProtection="1">
      <alignment/>
      <protection locked="0"/>
    </xf>
    <xf numFmtId="1" fontId="7" fillId="0" borderId="0" xfId="63" applyNumberFormat="1" applyFont="1">
      <alignment/>
      <protection/>
    </xf>
    <xf numFmtId="1" fontId="9" fillId="0" borderId="0" xfId="63" applyNumberFormat="1" applyFont="1" applyAlignment="1">
      <alignment vertical="center"/>
      <protection/>
    </xf>
    <xf numFmtId="38" fontId="9" fillId="0" borderId="17" xfId="63" applyNumberFormat="1" applyFont="1" applyBorder="1" applyProtection="1">
      <alignment/>
      <protection locked="0"/>
    </xf>
    <xf numFmtId="9" fontId="9" fillId="0" borderId="0" xfId="63" applyNumberFormat="1" applyFont="1">
      <alignment/>
      <protection/>
    </xf>
    <xf numFmtId="37" fontId="7" fillId="0" borderId="18" xfId="63" applyNumberFormat="1" applyFont="1" applyBorder="1">
      <alignment/>
      <protection/>
    </xf>
    <xf numFmtId="37" fontId="7" fillId="0" borderId="19" xfId="63" applyNumberFormat="1" applyFont="1" applyBorder="1">
      <alignment/>
      <protection/>
    </xf>
    <xf numFmtId="176" fontId="7" fillId="0" borderId="20" xfId="63" applyNumberFormat="1" applyFont="1" applyBorder="1">
      <alignment/>
      <protection/>
    </xf>
    <xf numFmtId="37" fontId="7" fillId="0" borderId="21" xfId="63" applyNumberFormat="1" applyFont="1" applyBorder="1">
      <alignment/>
      <protection/>
    </xf>
    <xf numFmtId="37" fontId="7" fillId="0" borderId="18" xfId="63" applyNumberFormat="1" applyFont="1" applyBorder="1">
      <alignment/>
      <protection/>
    </xf>
    <xf numFmtId="37" fontId="7" fillId="0" borderId="19" xfId="63" applyNumberFormat="1" applyFont="1" applyBorder="1">
      <alignment/>
      <protection/>
    </xf>
    <xf numFmtId="176" fontId="7" fillId="0" borderId="19" xfId="63" applyNumberFormat="1" applyFont="1" applyBorder="1">
      <alignment/>
      <protection/>
    </xf>
    <xf numFmtId="38" fontId="7" fillId="0" borderId="22" xfId="63" applyNumberFormat="1" applyFont="1" applyBorder="1" applyProtection="1">
      <alignment/>
      <protection locked="0"/>
    </xf>
    <xf numFmtId="9" fontId="7" fillId="0" borderId="0" xfId="63" applyNumberFormat="1" applyFont="1">
      <alignment/>
      <protection/>
    </xf>
    <xf numFmtId="38" fontId="9" fillId="0" borderId="23" xfId="63" applyNumberFormat="1" applyFont="1" applyBorder="1" applyProtection="1">
      <alignment/>
      <protection locked="0"/>
    </xf>
    <xf numFmtId="38" fontId="7" fillId="0" borderId="24" xfId="63" applyNumberFormat="1" applyFont="1" applyBorder="1" applyProtection="1">
      <alignment/>
      <protection locked="0"/>
    </xf>
    <xf numFmtId="0" fontId="11" fillId="0" borderId="0" xfId="63" applyFont="1">
      <alignment/>
      <protection/>
    </xf>
    <xf numFmtId="37" fontId="7" fillId="0" borderId="14" xfId="63" applyNumberFormat="1" applyFont="1" applyBorder="1">
      <alignment/>
      <protection/>
    </xf>
    <xf numFmtId="37" fontId="7" fillId="0" borderId="25" xfId="63" applyNumberFormat="1" applyFont="1" applyBorder="1">
      <alignment/>
      <protection/>
    </xf>
    <xf numFmtId="37" fontId="7" fillId="0" borderId="26" xfId="63" applyNumberFormat="1" applyFont="1" applyBorder="1">
      <alignment/>
      <protection/>
    </xf>
    <xf numFmtId="176" fontId="7" fillId="0" borderId="27" xfId="63" applyNumberFormat="1" applyFont="1" applyBorder="1">
      <alignment/>
      <protection/>
    </xf>
    <xf numFmtId="176" fontId="7" fillId="0" borderId="26" xfId="63" applyNumberFormat="1" applyFont="1" applyBorder="1">
      <alignment/>
      <protection/>
    </xf>
    <xf numFmtId="38" fontId="9" fillId="0" borderId="28" xfId="63" applyNumberFormat="1" applyFont="1" applyBorder="1" applyProtection="1">
      <alignment/>
      <protection locked="0"/>
    </xf>
    <xf numFmtId="38" fontId="7" fillId="0" borderId="23" xfId="63" applyNumberFormat="1" applyFont="1" applyBorder="1" applyProtection="1">
      <alignment/>
      <protection locked="0"/>
    </xf>
    <xf numFmtId="37" fontId="7" fillId="0" borderId="11" xfId="63" applyNumberFormat="1" applyFont="1" applyBorder="1">
      <alignment/>
      <protection/>
    </xf>
    <xf numFmtId="37" fontId="7" fillId="0" borderId="12" xfId="63" applyNumberFormat="1" applyFont="1" applyBorder="1">
      <alignment/>
      <protection/>
    </xf>
    <xf numFmtId="0" fontId="5" fillId="0" borderId="0" xfId="63">
      <alignment/>
      <protection/>
    </xf>
    <xf numFmtId="1" fontId="12" fillId="0" borderId="0" xfId="63" applyNumberFormat="1" applyFont="1" applyAlignment="1">
      <alignment horizontal="left"/>
      <protection/>
    </xf>
    <xf numFmtId="37" fontId="12" fillId="0" borderId="0" xfId="63" applyNumberFormat="1" applyFont="1">
      <alignment/>
      <protection/>
    </xf>
    <xf numFmtId="176" fontId="12" fillId="0" borderId="0" xfId="63" applyNumberFormat="1" applyFont="1">
      <alignment/>
      <protection/>
    </xf>
    <xf numFmtId="37" fontId="12" fillId="0" borderId="10" xfId="63" applyNumberFormat="1" applyFont="1" applyBorder="1">
      <alignment/>
      <protection/>
    </xf>
    <xf numFmtId="38" fontId="12" fillId="0" borderId="0" xfId="63" applyNumberFormat="1" applyFont="1" applyProtection="1">
      <alignment/>
      <protection locked="0"/>
    </xf>
    <xf numFmtId="0" fontId="13" fillId="0" borderId="0" xfId="63" applyFont="1" applyProtection="1">
      <alignment/>
      <protection locked="0"/>
    </xf>
    <xf numFmtId="177" fontId="7" fillId="0" borderId="0" xfId="42" applyNumberFormat="1" applyFont="1" applyAlignment="1">
      <alignment/>
    </xf>
    <xf numFmtId="0" fontId="14" fillId="0" borderId="0" xfId="63" applyFont="1">
      <alignment/>
      <protection/>
    </xf>
    <xf numFmtId="1" fontId="15" fillId="0" borderId="0" xfId="63" applyNumberFormat="1" applyFont="1" applyAlignment="1">
      <alignment horizontal="left"/>
      <protection/>
    </xf>
    <xf numFmtId="0" fontId="13" fillId="0" borderId="0" xfId="63" applyFont="1">
      <alignment/>
      <protection/>
    </xf>
    <xf numFmtId="37" fontId="13" fillId="0" borderId="10" xfId="63" applyNumberFormat="1" applyFont="1" applyBorder="1">
      <alignment/>
      <protection/>
    </xf>
    <xf numFmtId="37" fontId="13" fillId="0" borderId="0" xfId="63" applyNumberFormat="1" applyFont="1">
      <alignment/>
      <protection/>
    </xf>
    <xf numFmtId="176" fontId="13" fillId="0" borderId="0" xfId="63" applyNumberFormat="1" applyFont="1">
      <alignment/>
      <protection/>
    </xf>
    <xf numFmtId="38" fontId="9" fillId="0" borderId="0" xfId="63" applyNumberFormat="1" applyFont="1">
      <alignment/>
      <protection/>
    </xf>
    <xf numFmtId="0" fontId="16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16" fillId="0" borderId="0" xfId="62" applyFont="1" applyAlignment="1">
      <alignment horizontal="left"/>
      <protection/>
    </xf>
    <xf numFmtId="0" fontId="17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Alignment="1">
      <alignment horizontal="center" vertical="center" wrapText="1"/>
      <protection/>
    </xf>
    <xf numFmtId="0" fontId="0" fillId="0" borderId="29" xfId="62" applyBorder="1" applyAlignment="1">
      <alignment horizontal="center" vertical="center" wrapText="1"/>
      <protection/>
    </xf>
    <xf numFmtId="0" fontId="0" fillId="0" borderId="19" xfId="62" applyBorder="1" applyAlignment="1">
      <alignment horizontal="center" vertical="center" wrapText="1"/>
      <protection/>
    </xf>
    <xf numFmtId="0" fontId="0" fillId="0" borderId="30" xfId="62" applyBorder="1" applyAlignment="1">
      <alignment horizontal="center" vertical="center" wrapText="1"/>
      <protection/>
    </xf>
    <xf numFmtId="0" fontId="0" fillId="0" borderId="0" xfId="62" applyAlignment="1">
      <alignment horizontal="center"/>
      <protection/>
    </xf>
    <xf numFmtId="175" fontId="0" fillId="0" borderId="0" xfId="45" applyNumberFormat="1" applyAlignment="1">
      <alignment horizontal="center"/>
    </xf>
    <xf numFmtId="175" fontId="0" fillId="0" borderId="0" xfId="45" applyNumberFormat="1" applyAlignment="1">
      <alignment/>
    </xf>
    <xf numFmtId="43" fontId="0" fillId="0" borderId="29" xfId="45" applyBorder="1" applyAlignment="1">
      <alignment/>
    </xf>
    <xf numFmtId="43" fontId="0" fillId="0" borderId="19" xfId="45" applyBorder="1" applyAlignment="1">
      <alignment/>
    </xf>
    <xf numFmtId="43" fontId="0" fillId="0" borderId="30" xfId="45" applyBorder="1" applyAlignment="1">
      <alignment/>
    </xf>
    <xf numFmtId="43" fontId="0" fillId="0" borderId="31" xfId="45" applyBorder="1" applyAlignment="1">
      <alignment/>
    </xf>
    <xf numFmtId="43" fontId="0" fillId="0" borderId="0" xfId="45" applyAlignment="1">
      <alignment/>
    </xf>
    <xf numFmtId="43" fontId="0" fillId="0" borderId="32" xfId="45" applyBorder="1" applyAlignment="1">
      <alignment/>
    </xf>
    <xf numFmtId="191" fontId="0" fillId="0" borderId="31" xfId="66" applyNumberFormat="1" applyFont="1" applyBorder="1" applyAlignment="1">
      <alignment/>
    </xf>
    <xf numFmtId="191" fontId="0" fillId="0" borderId="0" xfId="66" applyNumberFormat="1" applyFont="1" applyAlignment="1">
      <alignment/>
    </xf>
    <xf numFmtId="191" fontId="0" fillId="0" borderId="32" xfId="66" applyNumberFormat="1" applyFont="1" applyBorder="1" applyAlignment="1">
      <alignment/>
    </xf>
    <xf numFmtId="43" fontId="0" fillId="0" borderId="33" xfId="45" applyBorder="1" applyAlignment="1">
      <alignment/>
    </xf>
    <xf numFmtId="43" fontId="0" fillId="0" borderId="34" xfId="45" applyBorder="1" applyAlignment="1">
      <alignment/>
    </xf>
    <xf numFmtId="43" fontId="0" fillId="0" borderId="35" xfId="45" applyBorder="1" applyAlignment="1">
      <alignment/>
    </xf>
    <xf numFmtId="43" fontId="17" fillId="0" borderId="0" xfId="62" applyNumberFormat="1" applyFont="1">
      <alignment/>
      <protection/>
    </xf>
    <xf numFmtId="175" fontId="17" fillId="0" borderId="0" xfId="62" applyNumberFormat="1" applyFont="1">
      <alignment/>
      <protection/>
    </xf>
    <xf numFmtId="0" fontId="21" fillId="0" borderId="0" xfId="61" applyFont="1">
      <alignment/>
      <protection/>
    </xf>
    <xf numFmtId="0" fontId="9" fillId="0" borderId="0" xfId="60" applyFont="1">
      <alignment/>
      <protection/>
    </xf>
    <xf numFmtId="0" fontId="19" fillId="0" borderId="0" xfId="60">
      <alignment/>
      <protection/>
    </xf>
    <xf numFmtId="0" fontId="17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6" fontId="26" fillId="0" borderId="0" xfId="60" applyNumberFormat="1" applyFont="1">
      <alignment/>
      <protection/>
    </xf>
    <xf numFmtId="0" fontId="23" fillId="0" borderId="0" xfId="60" applyFont="1">
      <alignment/>
      <protection/>
    </xf>
    <xf numFmtId="184" fontId="26" fillId="0" borderId="0" xfId="48" applyNumberFormat="1" applyFont="1" applyAlignment="1">
      <alignment/>
    </xf>
    <xf numFmtId="0" fontId="18" fillId="0" borderId="0" xfId="60" applyFont="1">
      <alignment/>
      <protection/>
    </xf>
    <xf numFmtId="0" fontId="27" fillId="0" borderId="0" xfId="60" applyFont="1">
      <alignment/>
      <protection/>
    </xf>
    <xf numFmtId="0" fontId="18" fillId="0" borderId="0" xfId="60" applyFont="1">
      <alignment/>
      <protection/>
    </xf>
    <xf numFmtId="44" fontId="26" fillId="0" borderId="0" xfId="48" applyFont="1" applyAlignment="1">
      <alignment/>
    </xf>
    <xf numFmtId="0" fontId="26" fillId="0" borderId="0" xfId="60" applyFont="1">
      <alignment/>
      <protection/>
    </xf>
    <xf numFmtId="38" fontId="25" fillId="0" borderId="0" xfId="60" applyNumberFormat="1" applyFont="1">
      <alignment/>
      <protection/>
    </xf>
    <xf numFmtId="6" fontId="26" fillId="0" borderId="0" xfId="46" applyNumberFormat="1" applyFont="1" applyAlignment="1">
      <alignment/>
    </xf>
    <xf numFmtId="4" fontId="21" fillId="0" borderId="0" xfId="42" applyFont="1" applyAlignment="1">
      <alignment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17" fillId="0" borderId="0" xfId="62" applyFont="1" applyAlignment="1">
      <alignment horizontal="center" vertical="center" wrapText="1"/>
      <protection/>
    </xf>
    <xf numFmtId="43" fontId="0" fillId="0" borderId="0" xfId="62" applyNumberFormat="1">
      <alignment/>
      <protection/>
    </xf>
    <xf numFmtId="43" fontId="0" fillId="0" borderId="0" xfId="62" applyNumberFormat="1" applyAlignment="1">
      <alignment horizontal="center" vertical="center" wrapText="1"/>
      <protection/>
    </xf>
    <xf numFmtId="179" fontId="0" fillId="0" borderId="31" xfId="66" applyNumberFormat="1" applyFont="1" applyBorder="1" applyAlignment="1">
      <alignment/>
    </xf>
    <xf numFmtId="179" fontId="0" fillId="0" borderId="19" xfId="66" applyNumberFormat="1" applyFont="1" applyBorder="1" applyAlignment="1">
      <alignment/>
    </xf>
    <xf numFmtId="179" fontId="0" fillId="0" borderId="0" xfId="66" applyNumberFormat="1" applyFont="1" applyAlignment="1">
      <alignment/>
    </xf>
    <xf numFmtId="0" fontId="28" fillId="0" borderId="0" xfId="0" applyFont="1" applyAlignment="1" applyProtection="1">
      <alignment horizontal="center"/>
      <protection locked="0"/>
    </xf>
    <xf numFmtId="179" fontId="0" fillId="0" borderId="30" xfId="66" applyNumberFormat="1" applyFont="1" applyBorder="1" applyAlignment="1">
      <alignment/>
    </xf>
    <xf numFmtId="179" fontId="0" fillId="0" borderId="32" xfId="66" applyNumberFormat="1" applyFont="1" applyBorder="1" applyAlignment="1">
      <alignment/>
    </xf>
    <xf numFmtId="0" fontId="0" fillId="0" borderId="0" xfId="62" applyFont="1" applyAlignment="1">
      <alignment horizontal="center" vertical="center" wrapText="1"/>
      <protection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37" fontId="0" fillId="0" borderId="0" xfId="0" applyNumberFormat="1" applyAlignment="1">
      <alignment/>
    </xf>
    <xf numFmtId="38" fontId="26" fillId="0" borderId="0" xfId="60" applyNumberFormat="1" applyFont="1">
      <alignment/>
      <protection/>
    </xf>
    <xf numFmtId="0" fontId="9" fillId="34" borderId="0" xfId="63" applyFont="1" applyFill="1">
      <alignment/>
      <protection/>
    </xf>
    <xf numFmtId="38" fontId="7" fillId="34" borderId="0" xfId="63" applyNumberFormat="1" applyFont="1" applyFill="1" applyAlignment="1" applyProtection="1" quotePrefix="1">
      <alignment horizontal="center"/>
      <protection locked="0"/>
    </xf>
    <xf numFmtId="38" fontId="7" fillId="34" borderId="0" xfId="63" applyNumberFormat="1" applyFont="1" applyFill="1" applyAlignment="1">
      <alignment horizontal="center"/>
      <protection/>
    </xf>
    <xf numFmtId="38" fontId="9" fillId="34" borderId="14" xfId="63" applyNumberFormat="1" applyFont="1" applyFill="1" applyBorder="1" applyProtection="1">
      <alignment/>
      <protection locked="0"/>
    </xf>
    <xf numFmtId="38" fontId="7" fillId="34" borderId="15" xfId="63" applyNumberFormat="1" applyFont="1" applyFill="1" applyBorder="1" applyProtection="1">
      <alignment/>
      <protection locked="0"/>
    </xf>
    <xf numFmtId="38" fontId="9" fillId="34" borderId="15" xfId="63" applyNumberFormat="1" applyFont="1" applyFill="1" applyBorder="1" applyProtection="1">
      <alignment/>
      <protection locked="0"/>
    </xf>
    <xf numFmtId="38" fontId="9" fillId="34" borderId="0" xfId="63" applyNumberFormat="1" applyFont="1" applyFill="1" applyProtection="1">
      <alignment/>
      <protection locked="0"/>
    </xf>
    <xf numFmtId="38" fontId="9" fillId="34" borderId="17" xfId="63" applyNumberFormat="1" applyFont="1" applyFill="1" applyBorder="1" applyProtection="1">
      <alignment/>
      <protection locked="0"/>
    </xf>
    <xf numFmtId="38" fontId="7" fillId="34" borderId="22" xfId="63" applyNumberFormat="1" applyFont="1" applyFill="1" applyBorder="1" applyProtection="1">
      <alignment/>
      <protection locked="0"/>
    </xf>
    <xf numFmtId="38" fontId="7" fillId="34" borderId="24" xfId="63" applyNumberFormat="1" applyFont="1" applyFill="1" applyBorder="1" applyProtection="1">
      <alignment/>
      <protection locked="0"/>
    </xf>
    <xf numFmtId="37" fontId="7" fillId="34" borderId="14" xfId="63" applyNumberFormat="1" applyFont="1" applyFill="1" applyBorder="1">
      <alignment/>
      <protection/>
    </xf>
    <xf numFmtId="38" fontId="7" fillId="34" borderId="0" xfId="63" applyNumberFormat="1" applyFont="1" applyFill="1" applyProtection="1">
      <alignment/>
      <protection locked="0"/>
    </xf>
    <xf numFmtId="38" fontId="9" fillId="34" borderId="28" xfId="63" applyNumberFormat="1" applyFont="1" applyFill="1" applyBorder="1" applyProtection="1">
      <alignment/>
      <protection locked="0"/>
    </xf>
    <xf numFmtId="38" fontId="7" fillId="34" borderId="23" xfId="63" applyNumberFormat="1" applyFont="1" applyFill="1" applyBorder="1" applyProtection="1">
      <alignment/>
      <protection locked="0"/>
    </xf>
    <xf numFmtId="38" fontId="12" fillId="34" borderId="0" xfId="63" applyNumberFormat="1" applyFont="1" applyFill="1" applyProtection="1">
      <alignment/>
      <protection locked="0"/>
    </xf>
    <xf numFmtId="38" fontId="9" fillId="34" borderId="0" xfId="63" applyNumberFormat="1" applyFont="1" applyFill="1">
      <alignment/>
      <protection/>
    </xf>
    <xf numFmtId="4" fontId="0" fillId="0" borderId="0" xfId="42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 horizontal="center"/>
      <protection locked="0"/>
    </xf>
    <xf numFmtId="38" fontId="0" fillId="35" borderId="0" xfId="0" applyNumberFormat="1" applyFill="1" applyAlignment="1">
      <alignment/>
    </xf>
    <xf numFmtId="37" fontId="7" fillId="34" borderId="22" xfId="63" applyNumberFormat="1" applyFont="1" applyFill="1" applyBorder="1">
      <alignment/>
      <protection/>
    </xf>
    <xf numFmtId="37" fontId="7" fillId="0" borderId="22" xfId="63" applyNumberFormat="1" applyFont="1" applyBorder="1">
      <alignment/>
      <protection/>
    </xf>
    <xf numFmtId="37" fontId="7" fillId="0" borderId="36" xfId="63" applyNumberFormat="1" applyFont="1" applyBorder="1">
      <alignment/>
      <protection/>
    </xf>
    <xf numFmtId="9" fontId="0" fillId="0" borderId="0" xfId="66" applyFont="1" applyAlignment="1">
      <alignment horizontal="center"/>
    </xf>
    <xf numFmtId="175" fontId="17" fillId="0" borderId="0" xfId="62" applyNumberFormat="1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8" fillId="0" borderId="0" xfId="62" applyFont="1" applyAlignment="1">
      <alignment horizontal="left"/>
      <protection/>
    </xf>
    <xf numFmtId="0" fontId="17" fillId="0" borderId="29" xfId="62" applyFont="1" applyBorder="1" applyAlignment="1">
      <alignment horizontal="center" vertical="center" wrapText="1"/>
      <protection/>
    </xf>
    <xf numFmtId="0" fontId="17" fillId="0" borderId="19" xfId="62" applyFont="1" applyBorder="1" applyAlignment="1">
      <alignment horizontal="center" vertical="center" wrapText="1"/>
      <protection/>
    </xf>
    <xf numFmtId="0" fontId="17" fillId="0" borderId="30" xfId="62" applyFont="1" applyBorder="1" applyAlignment="1">
      <alignment horizontal="center" vertical="center" wrapText="1"/>
      <protection/>
    </xf>
    <xf numFmtId="0" fontId="0" fillId="0" borderId="31" xfId="62" applyBorder="1" applyAlignment="1">
      <alignment horizontal="center" vertical="center" wrapText="1"/>
      <protection/>
    </xf>
    <xf numFmtId="0" fontId="0" fillId="0" borderId="32" xfId="62" applyBorder="1" applyAlignment="1">
      <alignment horizontal="center" vertical="center" wrapText="1"/>
      <protection/>
    </xf>
    <xf numFmtId="0" fontId="0" fillId="0" borderId="31" xfId="62" applyBorder="1">
      <alignment/>
      <protection/>
    </xf>
    <xf numFmtId="43" fontId="0" fillId="0" borderId="31" xfId="62" applyNumberFormat="1" applyBorder="1">
      <alignment/>
      <protection/>
    </xf>
    <xf numFmtId="43" fontId="0" fillId="0" borderId="32" xfId="62" applyNumberFormat="1" applyBorder="1">
      <alignment/>
      <protection/>
    </xf>
    <xf numFmtId="2" fontId="0" fillId="0" borderId="31" xfId="62" applyNumberFormat="1" applyBorder="1">
      <alignment/>
      <protection/>
    </xf>
    <xf numFmtId="2" fontId="0" fillId="0" borderId="32" xfId="62" applyNumberFormat="1" applyBorder="1">
      <alignment/>
      <protection/>
    </xf>
    <xf numFmtId="0" fontId="0" fillId="0" borderId="0" xfId="62" applyAlignment="1">
      <alignment horizontal="left"/>
      <protection/>
    </xf>
    <xf numFmtId="4" fontId="0" fillId="0" borderId="31" xfId="42" applyFont="1" applyBorder="1" applyAlignment="1">
      <alignment/>
    </xf>
    <xf numFmtId="43" fontId="0" fillId="0" borderId="33" xfId="62" applyNumberFormat="1" applyBorder="1">
      <alignment/>
      <protection/>
    </xf>
    <xf numFmtId="43" fontId="0" fillId="0" borderId="34" xfId="62" applyNumberFormat="1" applyBorder="1">
      <alignment/>
      <protection/>
    </xf>
    <xf numFmtId="43" fontId="0" fillId="0" borderId="35" xfId="62" applyNumberFormat="1" applyBorder="1">
      <alignment/>
      <protection/>
    </xf>
    <xf numFmtId="0" fontId="9" fillId="3" borderId="0" xfId="63" applyFont="1" applyFill="1">
      <alignment/>
      <protection/>
    </xf>
    <xf numFmtId="38" fontId="7" fillId="3" borderId="0" xfId="63" applyNumberFormat="1" applyFont="1" applyFill="1" applyAlignment="1">
      <alignment horizontal="center"/>
      <protection/>
    </xf>
    <xf numFmtId="38" fontId="9" fillId="3" borderId="14" xfId="63" applyNumberFormat="1" applyFont="1" applyFill="1" applyBorder="1" applyProtection="1">
      <alignment/>
      <protection locked="0"/>
    </xf>
    <xf numFmtId="38" fontId="7" fillId="3" borderId="15" xfId="63" applyNumberFormat="1" applyFont="1" applyFill="1" applyBorder="1" applyProtection="1">
      <alignment/>
      <protection locked="0"/>
    </xf>
    <xf numFmtId="38" fontId="9" fillId="3" borderId="15" xfId="63" applyNumberFormat="1" applyFont="1" applyFill="1" applyBorder="1" applyProtection="1">
      <alignment/>
      <protection locked="0"/>
    </xf>
    <xf numFmtId="38" fontId="9" fillId="3" borderId="0" xfId="63" applyNumberFormat="1" applyFont="1" applyFill="1" applyProtection="1">
      <alignment/>
      <protection locked="0"/>
    </xf>
    <xf numFmtId="38" fontId="9" fillId="3" borderId="17" xfId="63" applyNumberFormat="1" applyFont="1" applyFill="1" applyBorder="1" applyProtection="1">
      <alignment/>
      <protection locked="0"/>
    </xf>
    <xf numFmtId="38" fontId="9" fillId="3" borderId="28" xfId="63" applyNumberFormat="1" applyFont="1" applyFill="1" applyBorder="1" applyProtection="1">
      <alignment/>
      <protection locked="0"/>
    </xf>
    <xf numFmtId="37" fontId="7" fillId="3" borderId="36" xfId="63" applyNumberFormat="1" applyFont="1" applyFill="1" applyBorder="1">
      <alignment/>
      <protection/>
    </xf>
    <xf numFmtId="38" fontId="7" fillId="3" borderId="22" xfId="63" applyNumberFormat="1" applyFont="1" applyFill="1" applyBorder="1" applyProtection="1">
      <alignment/>
      <protection locked="0"/>
    </xf>
    <xf numFmtId="38" fontId="7" fillId="3" borderId="24" xfId="63" applyNumberFormat="1" applyFont="1" applyFill="1" applyBorder="1" applyProtection="1">
      <alignment/>
      <protection locked="0"/>
    </xf>
    <xf numFmtId="37" fontId="7" fillId="3" borderId="14" xfId="63" applyNumberFormat="1" applyFont="1" applyFill="1" applyBorder="1">
      <alignment/>
      <protection/>
    </xf>
    <xf numFmtId="38" fontId="7" fillId="3" borderId="0" xfId="63" applyNumberFormat="1" applyFont="1" applyFill="1" applyProtection="1">
      <alignment/>
      <protection locked="0"/>
    </xf>
    <xf numFmtId="38" fontId="7" fillId="3" borderId="23" xfId="63" applyNumberFormat="1" applyFont="1" applyFill="1" applyBorder="1" applyProtection="1">
      <alignment/>
      <protection locked="0"/>
    </xf>
    <xf numFmtId="38" fontId="12" fillId="3" borderId="0" xfId="63" applyNumberFormat="1" applyFont="1" applyFill="1" applyProtection="1">
      <alignment/>
      <protection locked="0"/>
    </xf>
    <xf numFmtId="38" fontId="9" fillId="3" borderId="0" xfId="63" applyNumberFormat="1" applyFont="1" applyFill="1">
      <alignment/>
      <protection/>
    </xf>
    <xf numFmtId="38" fontId="9" fillId="3" borderId="0" xfId="63" applyNumberFormat="1" applyFont="1" applyFill="1">
      <alignment/>
      <protection/>
    </xf>
    <xf numFmtId="0" fontId="0" fillId="36" borderId="0" xfId="0" applyFill="1" applyAlignment="1">
      <alignment/>
    </xf>
    <xf numFmtId="0" fontId="0" fillId="0" borderId="29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30" xfId="62" applyFont="1" applyBorder="1" applyAlignment="1">
      <alignment horizontal="center" vertical="center" wrapText="1"/>
      <protection/>
    </xf>
    <xf numFmtId="37" fontId="7" fillId="34" borderId="37" xfId="63" applyNumberFormat="1" applyFont="1" applyFill="1" applyBorder="1">
      <alignment/>
      <protection/>
    </xf>
    <xf numFmtId="37" fontId="7" fillId="3" borderId="37" xfId="63" applyNumberFormat="1" applyFont="1" applyFill="1" applyBorder="1">
      <alignment/>
      <protection/>
    </xf>
    <xf numFmtId="37" fontId="7" fillId="34" borderId="38" xfId="63" applyNumberFormat="1" applyFont="1" applyFill="1" applyBorder="1">
      <alignment/>
      <protection/>
    </xf>
    <xf numFmtId="37" fontId="7" fillId="3" borderId="38" xfId="63" applyNumberFormat="1" applyFont="1" applyFill="1" applyBorder="1">
      <alignment/>
      <protection/>
    </xf>
    <xf numFmtId="38" fontId="7" fillId="34" borderId="37" xfId="63" applyNumberFormat="1" applyFont="1" applyFill="1" applyBorder="1" applyProtection="1">
      <alignment/>
      <protection locked="0"/>
    </xf>
    <xf numFmtId="38" fontId="7" fillId="3" borderId="37" xfId="63" applyNumberFormat="1" applyFont="1" applyFill="1" applyBorder="1" applyProtection="1">
      <alignment/>
      <protection locked="0"/>
    </xf>
    <xf numFmtId="37" fontId="7" fillId="34" borderId="11" xfId="63" applyNumberFormat="1" applyFont="1" applyFill="1" applyBorder="1">
      <alignment/>
      <protection/>
    </xf>
    <xf numFmtId="37" fontId="7" fillId="3" borderId="12" xfId="63" applyNumberFormat="1" applyFont="1" applyFill="1" applyBorder="1">
      <alignment/>
      <protection/>
    </xf>
    <xf numFmtId="37" fontId="7" fillId="3" borderId="11" xfId="63" applyNumberFormat="1" applyFont="1" applyFill="1" applyBorder="1">
      <alignment/>
      <protection/>
    </xf>
    <xf numFmtId="175" fontId="0" fillId="0" borderId="0" xfId="42" applyNumberFormat="1" applyFont="1" applyAlignment="1">
      <alignment/>
    </xf>
    <xf numFmtId="0" fontId="0" fillId="0" borderId="0" xfId="0" applyFont="1" applyAlignment="1" applyProtection="1">
      <alignment horizontal="left" indent="1"/>
      <protection locked="0"/>
    </xf>
    <xf numFmtId="0" fontId="9" fillId="37" borderId="0" xfId="63" applyFont="1" applyFill="1">
      <alignment/>
      <protection/>
    </xf>
    <xf numFmtId="38" fontId="7" fillId="37" borderId="0" xfId="63" applyNumberFormat="1" applyFont="1" applyFill="1" applyAlignment="1" applyProtection="1" quotePrefix="1">
      <alignment horizontal="center"/>
      <protection locked="0"/>
    </xf>
    <xf numFmtId="38" fontId="7" fillId="37" borderId="0" xfId="63" applyNumberFormat="1" applyFont="1" applyFill="1" applyAlignment="1">
      <alignment horizontal="center"/>
      <protection/>
    </xf>
    <xf numFmtId="38" fontId="9" fillId="37" borderId="14" xfId="63" applyNumberFormat="1" applyFont="1" applyFill="1" applyBorder="1" applyProtection="1">
      <alignment/>
      <protection locked="0"/>
    </xf>
    <xf numFmtId="38" fontId="7" fillId="37" borderId="15" xfId="63" applyNumberFormat="1" applyFont="1" applyFill="1" applyBorder="1" applyProtection="1">
      <alignment/>
      <protection locked="0"/>
    </xf>
    <xf numFmtId="37" fontId="7" fillId="37" borderId="13" xfId="63" applyNumberFormat="1" applyFont="1" applyFill="1" applyBorder="1">
      <alignment/>
      <protection/>
    </xf>
    <xf numFmtId="38" fontId="9" fillId="37" borderId="0" xfId="63" applyNumberFormat="1" applyFont="1" applyFill="1" applyProtection="1">
      <alignment/>
      <protection locked="0"/>
    </xf>
    <xf numFmtId="38" fontId="9" fillId="37" borderId="17" xfId="63" applyNumberFormat="1" applyFont="1" applyFill="1" applyBorder="1" applyProtection="1">
      <alignment/>
      <protection locked="0"/>
    </xf>
    <xf numFmtId="38" fontId="9" fillId="37" borderId="28" xfId="63" applyNumberFormat="1" applyFont="1" applyFill="1" applyBorder="1" applyProtection="1">
      <alignment/>
      <protection locked="0"/>
    </xf>
    <xf numFmtId="38" fontId="9" fillId="37" borderId="15" xfId="63" applyNumberFormat="1" applyFont="1" applyFill="1" applyBorder="1" applyProtection="1">
      <alignment/>
      <protection locked="0"/>
    </xf>
    <xf numFmtId="37" fontId="7" fillId="37" borderId="39" xfId="63" applyNumberFormat="1" applyFont="1" applyFill="1" applyBorder="1">
      <alignment/>
      <protection/>
    </xf>
    <xf numFmtId="38" fontId="7" fillId="37" borderId="22" xfId="63" applyNumberFormat="1" applyFont="1" applyFill="1" applyBorder="1" applyProtection="1">
      <alignment/>
      <protection locked="0"/>
    </xf>
    <xf numFmtId="38" fontId="7" fillId="37" borderId="40" xfId="63" applyNumberFormat="1" applyFont="1" applyFill="1" applyBorder="1" applyProtection="1">
      <alignment/>
      <protection locked="0"/>
    </xf>
    <xf numFmtId="37" fontId="7" fillId="37" borderId="37" xfId="63" applyNumberFormat="1" applyFont="1" applyFill="1" applyBorder="1">
      <alignment/>
      <protection/>
    </xf>
    <xf numFmtId="38" fontId="7" fillId="37" borderId="0" xfId="63" applyNumberFormat="1" applyFont="1" applyFill="1" applyProtection="1">
      <alignment/>
      <protection locked="0"/>
    </xf>
    <xf numFmtId="37" fontId="7" fillId="37" borderId="14" xfId="63" applyNumberFormat="1" applyFont="1" applyFill="1" applyBorder="1">
      <alignment/>
      <protection/>
    </xf>
    <xf numFmtId="38" fontId="7" fillId="37" borderId="23" xfId="63" applyNumberFormat="1" applyFont="1" applyFill="1" applyBorder="1" applyProtection="1">
      <alignment/>
      <protection locked="0"/>
    </xf>
    <xf numFmtId="38" fontId="7" fillId="37" borderId="17" xfId="63" applyNumberFormat="1" applyFont="1" applyFill="1" applyBorder="1" applyProtection="1">
      <alignment/>
      <protection locked="0"/>
    </xf>
    <xf numFmtId="38" fontId="7" fillId="37" borderId="37" xfId="63" applyNumberFormat="1" applyFont="1" applyFill="1" applyBorder="1" applyProtection="1">
      <alignment/>
      <protection locked="0"/>
    </xf>
    <xf numFmtId="37" fontId="7" fillId="37" borderId="38" xfId="63" applyNumberFormat="1" applyFont="1" applyFill="1" applyBorder="1">
      <alignment/>
      <protection/>
    </xf>
    <xf numFmtId="38" fontId="12" fillId="37" borderId="0" xfId="63" applyNumberFormat="1" applyFont="1" applyFill="1" applyProtection="1">
      <alignment/>
      <protection locked="0"/>
    </xf>
    <xf numFmtId="38" fontId="9" fillId="37" borderId="0" xfId="63" applyNumberFormat="1" applyFont="1" applyFill="1">
      <alignment/>
      <protection/>
    </xf>
    <xf numFmtId="38" fontId="0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3" borderId="0" xfId="0" applyFont="1" applyFill="1" applyAlignment="1">
      <alignment horizontal="right"/>
    </xf>
    <xf numFmtId="0" fontId="78" fillId="0" borderId="0" xfId="0" applyFont="1" applyAlignment="1">
      <alignment horizontal="right"/>
    </xf>
    <xf numFmtId="0" fontId="78" fillId="0" borderId="41" xfId="0" applyFont="1" applyBorder="1" applyAlignment="1">
      <alignment horizontal="center"/>
    </xf>
    <xf numFmtId="0" fontId="78" fillId="0" borderId="41" xfId="0" applyFont="1" applyBorder="1" applyAlignment="1">
      <alignment horizontal="right"/>
    </xf>
    <xf numFmtId="0" fontId="78" fillId="3" borderId="41" xfId="0" applyFont="1" applyFill="1" applyBorder="1" applyAlignment="1">
      <alignment horizontal="right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center" wrapText="1"/>
    </xf>
    <xf numFmtId="195" fontId="77" fillId="0" borderId="0" xfId="0" applyNumberFormat="1" applyFont="1" applyAlignment="1">
      <alignment horizontal="right" wrapText="1"/>
    </xf>
    <xf numFmtId="195" fontId="77" fillId="3" borderId="0" xfId="0" applyNumberFormat="1" applyFont="1" applyFill="1" applyAlignment="1">
      <alignment horizontal="right" wrapText="1"/>
    </xf>
    <xf numFmtId="0" fontId="77" fillId="3" borderId="0" xfId="0" applyFont="1" applyFill="1" applyAlignment="1">
      <alignment horizontal="right" wrapText="1"/>
    </xf>
    <xf numFmtId="0" fontId="77" fillId="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center" wrapText="1"/>
    </xf>
    <xf numFmtId="0" fontId="0" fillId="0" borderId="42" xfId="0" applyBorder="1" applyAlignment="1">
      <alignment horizontal="center"/>
    </xf>
    <xf numFmtId="175" fontId="0" fillId="0" borderId="42" xfId="42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2" xfId="42" applyNumberFormat="1" applyFont="1" applyBorder="1" applyAlignment="1">
      <alignment/>
    </xf>
    <xf numFmtId="195" fontId="0" fillId="0" borderId="0" xfId="0" applyNumberFormat="1" applyAlignment="1">
      <alignment horizontal="right" wrapText="1"/>
    </xf>
    <xf numFmtId="195" fontId="0" fillId="0" borderId="41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3" fontId="0" fillId="0" borderId="42" xfId="0" applyNumberFormat="1" applyBorder="1" applyAlignment="1">
      <alignment/>
    </xf>
    <xf numFmtId="0" fontId="77" fillId="0" borderId="0" xfId="0" applyFont="1" applyAlignment="1">
      <alignment horizontal="right" wrapText="1"/>
    </xf>
    <xf numFmtId="37" fontId="0" fillId="0" borderId="0" xfId="62" applyNumberFormat="1">
      <alignment/>
      <protection/>
    </xf>
    <xf numFmtId="38" fontId="0" fillId="0" borderId="0" xfId="62" applyNumberFormat="1">
      <alignment/>
      <protection/>
    </xf>
    <xf numFmtId="195" fontId="77" fillId="3" borderId="0" xfId="0" applyNumberFormat="1" applyFont="1" applyFill="1" applyBorder="1" applyAlignment="1">
      <alignment horizontal="right" wrapText="1"/>
    </xf>
    <xf numFmtId="195" fontId="77" fillId="0" borderId="0" xfId="0" applyNumberFormat="1" applyFont="1" applyBorder="1" applyAlignment="1">
      <alignment horizontal="right" wrapText="1"/>
    </xf>
    <xf numFmtId="0" fontId="7" fillId="0" borderId="0" xfId="63" applyFont="1" applyFill="1" applyAlignment="1">
      <alignment horizontal="center"/>
      <protection/>
    </xf>
    <xf numFmtId="175" fontId="0" fillId="0" borderId="42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0" fillId="0" borderId="42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 applyProtection="1">
      <alignment horizontal="center"/>
      <protection locked="0"/>
    </xf>
    <xf numFmtId="38" fontId="0" fillId="38" borderId="0" xfId="0" applyNumberFormat="1" applyFill="1" applyAlignment="1">
      <alignment/>
    </xf>
    <xf numFmtId="164" fontId="0" fillId="38" borderId="0" xfId="0" applyNumberFormat="1" applyFill="1" applyAlignment="1">
      <alignment/>
    </xf>
    <xf numFmtId="40" fontId="0" fillId="38" borderId="0" xfId="0" applyNumberFormat="1" applyFill="1" applyAlignment="1">
      <alignment/>
    </xf>
    <xf numFmtId="4" fontId="0" fillId="0" borderId="0" xfId="42" applyFont="1" applyAlignment="1">
      <alignment/>
    </xf>
    <xf numFmtId="4" fontId="0" fillId="0" borderId="0" xfId="42" applyFont="1" applyAlignment="1" quotePrefix="1">
      <alignment/>
    </xf>
    <xf numFmtId="0" fontId="77" fillId="0" borderId="0" xfId="0" applyFont="1" applyAlignment="1">
      <alignment horizontal="center"/>
    </xf>
    <xf numFmtId="40" fontId="0" fillId="35" borderId="0" xfId="0" applyNumberFormat="1" applyFill="1" applyAlignment="1">
      <alignment/>
    </xf>
    <xf numFmtId="195" fontId="0" fillId="0" borderId="0" xfId="0" applyNumberFormat="1" applyBorder="1" applyAlignment="1">
      <alignment horizontal="right" wrapText="1"/>
    </xf>
    <xf numFmtId="0" fontId="77" fillId="0" borderId="0" xfId="0" applyFont="1" applyAlignment="1">
      <alignment/>
    </xf>
    <xf numFmtId="199" fontId="0" fillId="0" borderId="0" xfId="0" applyNumberFormat="1" applyAlignment="1">
      <alignment/>
    </xf>
    <xf numFmtId="0" fontId="77" fillId="3" borderId="0" xfId="0" applyFont="1" applyFill="1" applyAlignment="1">
      <alignment horizontal="left" wrapText="1"/>
    </xf>
    <xf numFmtId="0" fontId="77" fillId="3" borderId="0" xfId="0" applyFont="1" applyFill="1" applyAlignment="1">
      <alignment horizontal="center" wrapText="1"/>
    </xf>
    <xf numFmtId="195" fontId="0" fillId="3" borderId="0" xfId="0" applyNumberFormat="1" applyFill="1" applyBorder="1" applyAlignment="1">
      <alignment horizontal="right" wrapText="1"/>
    </xf>
    <xf numFmtId="195" fontId="0" fillId="3" borderId="0" xfId="0" applyNumberFormat="1" applyFill="1" applyAlignment="1">
      <alignment horizontal="right" wrapText="1"/>
    </xf>
    <xf numFmtId="199" fontId="0" fillId="3" borderId="0" xfId="0" applyNumberFormat="1" applyFill="1" applyAlignment="1">
      <alignment horizontal="right" wrapText="1"/>
    </xf>
    <xf numFmtId="9" fontId="0" fillId="0" borderId="0" xfId="66" applyFont="1" applyAlignment="1">
      <alignment horizontal="right" wrapText="1"/>
    </xf>
    <xf numFmtId="0" fontId="77" fillId="3" borderId="0" xfId="0" applyFont="1" applyFill="1" applyBorder="1" applyAlignment="1">
      <alignment horizontal="left" wrapText="1"/>
    </xf>
    <xf numFmtId="0" fontId="77" fillId="3" borderId="0" xfId="0" applyFont="1" applyFill="1" applyBorder="1" applyAlignment="1">
      <alignment horizontal="center" wrapText="1"/>
    </xf>
    <xf numFmtId="0" fontId="77" fillId="3" borderId="0" xfId="0" applyFont="1" applyFill="1" applyBorder="1" applyAlignment="1">
      <alignment/>
    </xf>
    <xf numFmtId="3" fontId="0" fillId="0" borderId="0" xfId="42" applyNumberFormat="1" applyFont="1" applyAlignment="1">
      <alignment/>
    </xf>
    <xf numFmtId="3" fontId="0" fillId="0" borderId="19" xfId="42" applyNumberFormat="1" applyFont="1" applyBorder="1" applyAlignment="1">
      <alignment/>
    </xf>
    <xf numFmtId="1" fontId="9" fillId="0" borderId="0" xfId="63" applyNumberFormat="1" applyFont="1" applyFill="1">
      <alignment/>
      <protection/>
    </xf>
    <xf numFmtId="0" fontId="7" fillId="0" borderId="0" xfId="63" applyFont="1" applyFill="1">
      <alignment/>
      <protection/>
    </xf>
    <xf numFmtId="0" fontId="11" fillId="0" borderId="0" xfId="6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199" fontId="0" fillId="0" borderId="0" xfId="0" applyNumberFormat="1" applyAlignment="1">
      <alignment horizontal="right"/>
    </xf>
    <xf numFmtId="199" fontId="0" fillId="38" borderId="0" xfId="0" applyNumberFormat="1" applyFill="1" applyAlignment="1">
      <alignment horizontal="right"/>
    </xf>
    <xf numFmtId="199" fontId="0" fillId="35" borderId="0" xfId="0" applyNumberFormat="1" applyFill="1" applyAlignment="1">
      <alignment horizontal="right"/>
    </xf>
    <xf numFmtId="199" fontId="0" fillId="0" borderId="0" xfId="0" applyNumberFormat="1" applyAlignment="1" applyProtection="1">
      <alignment horizontal="fill"/>
      <protection locked="0"/>
    </xf>
    <xf numFmtId="199" fontId="0" fillId="38" borderId="0" xfId="0" applyNumberFormat="1" applyFill="1" applyAlignment="1" applyProtection="1">
      <alignment horizontal="fill"/>
      <protection locked="0"/>
    </xf>
    <xf numFmtId="199" fontId="0" fillId="35" borderId="0" xfId="0" applyNumberFormat="1" applyFill="1" applyAlignment="1" applyProtection="1">
      <alignment horizontal="fill"/>
      <protection locked="0"/>
    </xf>
    <xf numFmtId="199" fontId="0" fillId="38" borderId="0" xfId="0" applyNumberFormat="1" applyFill="1" applyAlignment="1">
      <alignment/>
    </xf>
    <xf numFmtId="199" fontId="0" fillId="35" borderId="0" xfId="0" applyNumberFormat="1" applyFill="1" applyAlignment="1">
      <alignment/>
    </xf>
    <xf numFmtId="199" fontId="0" fillId="35" borderId="0" xfId="42" applyNumberFormat="1" applyFont="1" applyFill="1" applyAlignment="1">
      <alignment/>
    </xf>
    <xf numFmtId="199" fontId="0" fillId="0" borderId="0" xfId="0" applyNumberFormat="1" applyFill="1" applyAlignment="1">
      <alignment horizontal="right"/>
    </xf>
    <xf numFmtId="0" fontId="79" fillId="0" borderId="43" xfId="0" applyFont="1" applyFill="1" applyBorder="1" applyAlignment="1">
      <alignment horizontal="right"/>
    </xf>
    <xf numFmtId="0" fontId="0" fillId="0" borderId="0" xfId="62" applyFont="1">
      <alignment/>
      <protection/>
    </xf>
    <xf numFmtId="0" fontId="80" fillId="39" borderId="0" xfId="0" applyFont="1" applyFill="1" applyAlignment="1">
      <alignment horizontal="center"/>
    </xf>
    <xf numFmtId="0" fontId="31" fillId="0" borderId="43" xfId="0" applyFont="1" applyFill="1" applyBorder="1" applyAlignment="1">
      <alignment horizontal="right"/>
    </xf>
    <xf numFmtId="16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4" fontId="0" fillId="0" borderId="19" xfId="42" applyFont="1" applyBorder="1" applyAlignment="1">
      <alignment/>
    </xf>
    <xf numFmtId="0" fontId="21" fillId="0" borderId="0" xfId="61" applyFont="1" applyAlignment="1">
      <alignment wrapText="1"/>
      <protection/>
    </xf>
    <xf numFmtId="0" fontId="21" fillId="0" borderId="0" xfId="61" applyFont="1" applyBorder="1">
      <alignment/>
      <protection/>
    </xf>
    <xf numFmtId="0" fontId="21" fillId="0" borderId="0" xfId="61" applyFont="1" applyBorder="1" applyAlignment="1">
      <alignment wrapText="1"/>
      <protection/>
    </xf>
    <xf numFmtId="0" fontId="20" fillId="0" borderId="0" xfId="61" applyFont="1" applyBorder="1">
      <alignment/>
      <protection/>
    </xf>
    <xf numFmtId="38" fontId="20" fillId="0" borderId="0" xfId="61" applyNumberFormat="1" applyFont="1" applyBorder="1">
      <alignment/>
      <protection/>
    </xf>
    <xf numFmtId="0" fontId="21" fillId="0" borderId="0" xfId="61" applyFont="1" applyAlignment="1">
      <alignment horizont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 wrapText="1"/>
      <protection/>
    </xf>
    <xf numFmtId="0" fontId="32" fillId="0" borderId="14" xfId="61" applyFont="1" applyBorder="1">
      <alignment/>
      <protection/>
    </xf>
    <xf numFmtId="38" fontId="32" fillId="0" borderId="14" xfId="61" applyNumberFormat="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0" fontId="11" fillId="0" borderId="14" xfId="61" applyFont="1" applyBorder="1">
      <alignment/>
      <protection/>
    </xf>
    <xf numFmtId="10" fontId="21" fillId="0" borderId="14" xfId="61" applyNumberFormat="1" applyFont="1" applyBorder="1" applyAlignment="1">
      <alignment horizontal="center"/>
      <protection/>
    </xf>
    <xf numFmtId="10" fontId="21" fillId="0" borderId="14" xfId="61" applyNumberFormat="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/>
      <protection/>
    </xf>
    <xf numFmtId="3" fontId="0" fillId="38" borderId="0" xfId="42" applyNumberFormat="1" applyFont="1" applyFill="1" applyAlignment="1">
      <alignment/>
    </xf>
    <xf numFmtId="175" fontId="0" fillId="0" borderId="42" xfId="42" applyNumberFormat="1" applyFont="1" applyFill="1" applyBorder="1" applyAlignment="1">
      <alignment/>
    </xf>
    <xf numFmtId="175" fontId="0" fillId="0" borderId="42" xfId="42" applyNumberFormat="1" applyFon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 indent="1"/>
      <protection locked="0"/>
    </xf>
    <xf numFmtId="199" fontId="0" fillId="0" borderId="0" xfId="0" applyNumberFormat="1" applyFill="1" applyAlignment="1" applyProtection="1">
      <alignment horizontal="fill"/>
      <protection locked="0"/>
    </xf>
    <xf numFmtId="0" fontId="17" fillId="0" borderId="0" xfId="0" applyFont="1" applyFill="1" applyAlignment="1" applyProtection="1">
      <alignment horizontal="left"/>
      <protection locked="0"/>
    </xf>
    <xf numFmtId="37" fontId="7" fillId="36" borderId="38" xfId="63" applyNumberFormat="1" applyFont="1" applyFill="1" applyBorder="1">
      <alignment/>
      <protection/>
    </xf>
    <xf numFmtId="0" fontId="78" fillId="0" borderId="0" xfId="0" applyFont="1" applyAlignment="1">
      <alignment horizontal="right"/>
    </xf>
    <xf numFmtId="0" fontId="78" fillId="0" borderId="41" xfId="0" applyFont="1" applyBorder="1" applyAlignment="1">
      <alignment horizontal="center"/>
    </xf>
    <xf numFmtId="0" fontId="78" fillId="0" borderId="41" xfId="0" applyFont="1" applyBorder="1" applyAlignment="1">
      <alignment horizontal="right"/>
    </xf>
    <xf numFmtId="0" fontId="79" fillId="40" borderId="43" xfId="0" applyFont="1" applyFill="1" applyBorder="1" applyAlignment="1">
      <alignment horizontal="right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5" fontId="78" fillId="0" borderId="41" xfId="0" applyNumberFormat="1" applyFont="1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195" fontId="78" fillId="0" borderId="44" xfId="0" applyNumberFormat="1" applyFont="1" applyBorder="1" applyAlignment="1">
      <alignment horizontal="right" wrapText="1"/>
    </xf>
    <xf numFmtId="0" fontId="0" fillId="41" borderId="0" xfId="0" applyFill="1" applyAlignment="1">
      <alignment/>
    </xf>
    <xf numFmtId="0" fontId="78" fillId="41" borderId="0" xfId="0" applyFont="1" applyFill="1" applyAlignment="1">
      <alignment horizontal="right"/>
    </xf>
    <xf numFmtId="0" fontId="78" fillId="41" borderId="41" xfId="0" applyFont="1" applyFill="1" applyBorder="1" applyAlignment="1">
      <alignment horizontal="right"/>
    </xf>
    <xf numFmtId="0" fontId="78" fillId="41" borderId="0" xfId="0" applyFont="1" applyFill="1" applyAlignment="1">
      <alignment horizontal="right" wrapText="1"/>
    </xf>
    <xf numFmtId="195" fontId="0" fillId="41" borderId="0" xfId="0" applyNumberFormat="1" applyFill="1" applyAlignment="1">
      <alignment horizontal="right" wrapText="1"/>
    </xf>
    <xf numFmtId="195" fontId="0" fillId="41" borderId="41" xfId="0" applyNumberFormat="1" applyFill="1" applyBorder="1" applyAlignment="1">
      <alignment horizontal="right" wrapText="1"/>
    </xf>
    <xf numFmtId="0" fontId="0" fillId="41" borderId="0" xfId="0" applyFill="1" applyAlignment="1">
      <alignment horizontal="right" wrapText="1"/>
    </xf>
    <xf numFmtId="195" fontId="78" fillId="41" borderId="41" xfId="0" applyNumberFormat="1" applyFont="1" applyFill="1" applyBorder="1" applyAlignment="1">
      <alignment horizontal="right" wrapText="1"/>
    </xf>
    <xf numFmtId="0" fontId="0" fillId="41" borderId="41" xfId="0" applyFill="1" applyBorder="1" applyAlignment="1">
      <alignment horizontal="right" wrapText="1"/>
    </xf>
    <xf numFmtId="195" fontId="78" fillId="41" borderId="44" xfId="0" applyNumberFormat="1" applyFont="1" applyFill="1" applyBorder="1" applyAlignment="1">
      <alignment horizontal="right" wrapText="1"/>
    </xf>
    <xf numFmtId="0" fontId="0" fillId="41" borderId="19" xfId="0" applyFill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3" fontId="0" fillId="0" borderId="42" xfId="42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 horizontal="left" wrapText="1" indent="1"/>
    </xf>
    <xf numFmtId="195" fontId="0" fillId="0" borderId="0" xfId="0" applyNumberFormat="1" applyFont="1" applyAlignment="1">
      <alignment horizontal="right" wrapText="1"/>
    </xf>
    <xf numFmtId="0" fontId="0" fillId="0" borderId="0" xfId="0" applyAlignment="1" applyProtection="1">
      <alignment horizontal="left" indent="1"/>
      <protection locked="0"/>
    </xf>
    <xf numFmtId="195" fontId="0" fillId="2" borderId="0" xfId="0" applyNumberFormat="1" applyFill="1" applyAlignment="1">
      <alignment horizontal="right" wrapText="1"/>
    </xf>
    <xf numFmtId="195" fontId="0" fillId="3" borderId="41" xfId="0" applyNumberFormat="1" applyFill="1" applyBorder="1" applyAlignment="1">
      <alignment horizontal="right" wrapText="1"/>
    </xf>
    <xf numFmtId="195" fontId="0" fillId="0" borderId="0" xfId="0" applyNumberFormat="1" applyFill="1" applyAlignment="1">
      <alignment horizontal="right" wrapText="1"/>
    </xf>
    <xf numFmtId="195" fontId="0" fillId="0" borderId="41" xfId="0" applyNumberForma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7" fillId="0" borderId="0" xfId="63" applyFont="1" applyAlignment="1">
      <alignment horizontal="left"/>
      <protection/>
    </xf>
    <xf numFmtId="176" fontId="7" fillId="1" borderId="0" xfId="63" applyNumberFormat="1" applyFont="1" applyFill="1" applyBorder="1">
      <alignment/>
      <protection/>
    </xf>
    <xf numFmtId="176" fontId="7" fillId="1" borderId="0" xfId="63" applyNumberFormat="1" applyFont="1" applyFill="1" applyBorder="1" applyAlignment="1">
      <alignment horizontal="center"/>
      <protection/>
    </xf>
    <xf numFmtId="176" fontId="7" fillId="0" borderId="0" xfId="63" applyNumberFormat="1" applyFont="1" applyBorder="1" applyAlignment="1">
      <alignment horizontal="center"/>
      <protection/>
    </xf>
    <xf numFmtId="176" fontId="7" fillId="33" borderId="0" xfId="63" applyNumberFormat="1" applyFont="1" applyFill="1" applyBorder="1" applyAlignment="1">
      <alignment horizontal="center"/>
      <protection/>
    </xf>
    <xf numFmtId="176" fontId="9" fillId="0" borderId="0" xfId="63" applyNumberFormat="1" applyFont="1" applyBorder="1">
      <alignment/>
      <protection/>
    </xf>
    <xf numFmtId="176" fontId="7" fillId="0" borderId="0" xfId="63" applyNumberFormat="1" applyFont="1" applyBorder="1">
      <alignment/>
      <protection/>
    </xf>
    <xf numFmtId="176" fontId="12" fillId="0" borderId="45" xfId="63" applyNumberFormat="1" applyFont="1" applyBorder="1">
      <alignment/>
      <protection/>
    </xf>
    <xf numFmtId="176" fontId="13" fillId="0" borderId="0" xfId="63" applyNumberFormat="1" applyFont="1" applyBorder="1">
      <alignment/>
      <protection/>
    </xf>
    <xf numFmtId="38" fontId="7" fillId="1" borderId="46" xfId="63" applyNumberFormat="1" applyFont="1" applyFill="1" applyBorder="1" applyAlignment="1">
      <alignment horizontal="center"/>
      <protection/>
    </xf>
    <xf numFmtId="38" fontId="7" fillId="0" borderId="46" xfId="63" applyNumberFormat="1" applyFont="1" applyBorder="1" applyAlignment="1">
      <alignment horizontal="center"/>
      <protection/>
    </xf>
    <xf numFmtId="37" fontId="7" fillId="0" borderId="47" xfId="63" applyNumberFormat="1" applyFont="1" applyBorder="1">
      <alignment/>
      <protection/>
    </xf>
    <xf numFmtId="38" fontId="7" fillId="33" borderId="46" xfId="63" applyNumberFormat="1" applyFont="1" applyFill="1" applyBorder="1" applyAlignment="1">
      <alignment horizontal="center"/>
      <protection/>
    </xf>
    <xf numFmtId="37" fontId="9" fillId="0" borderId="46" xfId="63" applyNumberFormat="1" applyFont="1" applyBorder="1">
      <alignment/>
      <protection/>
    </xf>
    <xf numFmtId="37" fontId="7" fillId="0" borderId="46" xfId="63" applyNumberFormat="1" applyFont="1" applyBorder="1">
      <alignment/>
      <protection/>
    </xf>
    <xf numFmtId="37" fontId="7" fillId="33" borderId="46" xfId="63" applyNumberFormat="1" applyFont="1" applyFill="1" applyBorder="1" applyAlignment="1">
      <alignment horizontal="center"/>
      <protection/>
    </xf>
    <xf numFmtId="37" fontId="7" fillId="0" borderId="48" xfId="63" applyNumberFormat="1" applyFont="1" applyBorder="1">
      <alignment/>
      <protection/>
    </xf>
    <xf numFmtId="37" fontId="7" fillId="0" borderId="48" xfId="63" applyNumberFormat="1" applyFont="1" applyBorder="1">
      <alignment/>
      <protection/>
    </xf>
    <xf numFmtId="37" fontId="7" fillId="0" borderId="49" xfId="63" applyNumberFormat="1" applyFont="1" applyBorder="1">
      <alignment/>
      <protection/>
    </xf>
    <xf numFmtId="37" fontId="7" fillId="0" borderId="47" xfId="63" applyNumberFormat="1" applyFont="1" applyBorder="1">
      <alignment/>
      <protection/>
    </xf>
    <xf numFmtId="37" fontId="12" fillId="0" borderId="46" xfId="63" applyNumberFormat="1" applyFont="1" applyBorder="1">
      <alignment/>
      <protection/>
    </xf>
    <xf numFmtId="37" fontId="13" fillId="0" borderId="46" xfId="63" applyNumberFormat="1" applyFont="1" applyBorder="1">
      <alignment/>
      <protection/>
    </xf>
    <xf numFmtId="3" fontId="25" fillId="0" borderId="0" xfId="42" applyNumberFormat="1" applyFont="1" applyAlignment="1">
      <alignment/>
    </xf>
    <xf numFmtId="0" fontId="17" fillId="0" borderId="50" xfId="62" applyFont="1" applyBorder="1" applyAlignment="1">
      <alignment horizontal="center"/>
      <protection/>
    </xf>
    <xf numFmtId="0" fontId="17" fillId="0" borderId="12" xfId="62" applyFont="1" applyBorder="1" applyAlignment="1">
      <alignment horizontal="center"/>
      <protection/>
    </xf>
    <xf numFmtId="0" fontId="17" fillId="0" borderId="51" xfId="62" applyFont="1" applyBorder="1" applyAlignment="1">
      <alignment horizontal="center"/>
      <protection/>
    </xf>
    <xf numFmtId="0" fontId="18" fillId="0" borderId="0" xfId="62" applyFont="1" applyAlignment="1">
      <alignment horizontal="center" vertical="center"/>
      <protection/>
    </xf>
    <xf numFmtId="0" fontId="16" fillId="0" borderId="0" xfId="62" applyFont="1" applyAlignment="1">
      <alignment horizontal="center"/>
      <protection/>
    </xf>
    <xf numFmtId="0" fontId="80" fillId="39" borderId="0" xfId="0" applyFont="1" applyFill="1" applyAlignment="1">
      <alignment horizontal="center"/>
    </xf>
    <xf numFmtId="0" fontId="81" fillId="39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33" fillId="0" borderId="0" xfId="61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dues analysis" xfId="45"/>
    <cellStyle name="Currency" xfId="46"/>
    <cellStyle name="Currency [0]" xfId="47"/>
    <cellStyle name="Currency_2004bdgt detai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04bdgt detail" xfId="60"/>
    <cellStyle name="Normal_2005VI offset 1" xfId="61"/>
    <cellStyle name="Normal_dues analysis" xfId="62"/>
    <cellStyle name="Normal_OA Master 2006 comp with actuals for 200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2022 Budget Comparison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625"/>
          <c:w val="0.893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Info'!$B$4</c:f>
              <c:strCache>
                <c:ptCount val="1"/>
                <c:pt idx="0">
                  <c:v>Budget 2019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Info'!$A$5:$A$9</c:f>
              <c:strCache>
                <c:ptCount val="5"/>
                <c:pt idx="0">
                  <c:v>PTRE</c:v>
                </c:pt>
                <c:pt idx="1">
                  <c:v>G &amp; A</c:v>
                </c:pt>
                <c:pt idx="2">
                  <c:v>Maint/Repairs</c:v>
                </c:pt>
                <c:pt idx="3">
                  <c:v>Utilities</c:v>
                </c:pt>
                <c:pt idx="4">
                  <c:v>Reserve </c:v>
                </c:pt>
              </c:strCache>
            </c:strRef>
          </c:cat>
          <c:val>
            <c:numRef>
              <c:f>'Graph Info'!$B$5:$B$9</c:f>
              <c:numCache>
                <c:ptCount val="5"/>
                <c:pt idx="0">
                  <c:v>0</c:v>
                </c:pt>
                <c:pt idx="1">
                  <c:v>304184</c:v>
                </c:pt>
                <c:pt idx="2">
                  <c:v>467220</c:v>
                </c:pt>
                <c:pt idx="3">
                  <c:v>517382.5</c:v>
                </c:pt>
                <c:pt idx="4">
                  <c:v>303900</c:v>
                </c:pt>
              </c:numCache>
            </c:numRef>
          </c:val>
        </c:ser>
        <c:ser>
          <c:idx val="1"/>
          <c:order val="1"/>
          <c:tx>
            <c:strRef>
              <c:f>'Graph Info'!$C$4</c:f>
              <c:strCache>
                <c:ptCount val="1"/>
                <c:pt idx="0">
                  <c:v>Est Act 2019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Info'!$A$5:$A$9</c:f>
              <c:strCache>
                <c:ptCount val="5"/>
                <c:pt idx="0">
                  <c:v>PTRE</c:v>
                </c:pt>
                <c:pt idx="1">
                  <c:v>G &amp; A</c:v>
                </c:pt>
                <c:pt idx="2">
                  <c:v>Maint/Repairs</c:v>
                </c:pt>
                <c:pt idx="3">
                  <c:v>Utilities</c:v>
                </c:pt>
                <c:pt idx="4">
                  <c:v>Reserve </c:v>
                </c:pt>
              </c:strCache>
            </c:strRef>
          </c:cat>
          <c:val>
            <c:numRef>
              <c:f>'Graph Info'!$C$5:$C$9</c:f>
              <c:numCache>
                <c:ptCount val="5"/>
                <c:pt idx="0">
                  <c:v>0</c:v>
                </c:pt>
                <c:pt idx="1">
                  <c:v>255698</c:v>
                </c:pt>
                <c:pt idx="2">
                  <c:v>456273</c:v>
                </c:pt>
                <c:pt idx="3">
                  <c:v>586012</c:v>
                </c:pt>
                <c:pt idx="4">
                  <c:v>167365</c:v>
                </c:pt>
              </c:numCache>
            </c:numRef>
          </c:val>
        </c:ser>
        <c:ser>
          <c:idx val="2"/>
          <c:order val="2"/>
          <c:tx>
            <c:strRef>
              <c:f>'Graph Info'!$D$4</c:f>
              <c:strCache>
                <c:ptCount val="1"/>
                <c:pt idx="0">
                  <c:v>Budget 2020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Info'!$A$5:$A$9</c:f>
              <c:strCache>
                <c:ptCount val="5"/>
                <c:pt idx="0">
                  <c:v>PTRE</c:v>
                </c:pt>
                <c:pt idx="1">
                  <c:v>G &amp; A</c:v>
                </c:pt>
                <c:pt idx="2">
                  <c:v>Maint/Repairs</c:v>
                </c:pt>
                <c:pt idx="3">
                  <c:v>Utilities</c:v>
                </c:pt>
                <c:pt idx="4">
                  <c:v>Reserve </c:v>
                </c:pt>
              </c:strCache>
            </c:strRef>
          </c:cat>
          <c:val>
            <c:numRef>
              <c:f>'Graph Info'!$D$5:$D$9</c:f>
              <c:numCache>
                <c:ptCount val="5"/>
                <c:pt idx="0">
                  <c:v>0</c:v>
                </c:pt>
                <c:pt idx="1">
                  <c:v>287339.30000000005</c:v>
                </c:pt>
                <c:pt idx="2">
                  <c:v>485008</c:v>
                </c:pt>
                <c:pt idx="3">
                  <c:v>614103</c:v>
                </c:pt>
                <c:pt idx="4">
                  <c:v>697660</c:v>
                </c:pt>
              </c:numCache>
            </c:numRef>
          </c:val>
        </c:ser>
        <c:overlap val="-25"/>
        <c:axId val="40643593"/>
        <c:axId val="30248018"/>
      </c:bar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018"/>
        <c:crosses val="autoZero"/>
        <c:auto val="1"/>
        <c:lblOffset val="100"/>
        <c:tickLblSkip val="1"/>
        <c:noMultiLvlLbl val="0"/>
      </c:catAx>
      <c:valAx>
        <c:axId val="30248018"/>
        <c:scaling>
          <c:orientation val="minMax"/>
        </c:scaling>
        <c:axPos val="l"/>
        <c:delete val="1"/>
        <c:majorTickMark val="out"/>
        <c:minorTickMark val="none"/>
        <c:tickLblPos val="nextTo"/>
        <c:crossAx val="40643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075"/>
          <c:y val="0.04225"/>
          <c:w val="0.220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bateman\My%20Documents\Old%20D%20Drive\public\HOA\Oasis\2006\OA%20Master%202006%20comp%20with%20actuals%20for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es analysis"/>
      <sheetName val="2006 budget comp"/>
      <sheetName val="budget detail"/>
      <sheetName val="VI offset"/>
      <sheetName val="BdgtNarrative 2006"/>
      <sheetName val="reserve narrative 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7">
      <selection activeCell="M26" sqref="M26"/>
    </sheetView>
  </sheetViews>
  <sheetFormatPr defaultColWidth="9.28125" defaultRowHeight="12.75"/>
  <cols>
    <col min="1" max="1" width="3.57421875" style="96" customWidth="1"/>
    <col min="2" max="2" width="4.00390625" style="96" customWidth="1"/>
    <col min="3" max="3" width="18.421875" style="96" customWidth="1"/>
    <col min="4" max="4" width="10.28125" style="96" customWidth="1"/>
    <col min="5" max="5" width="13.00390625" style="96" customWidth="1"/>
    <col min="6" max="6" width="12.00390625" style="96" customWidth="1"/>
    <col min="7" max="7" width="14.28125" style="96" customWidth="1"/>
    <col min="8" max="8" width="14.7109375" style="96" customWidth="1"/>
    <col min="9" max="9" width="13.7109375" style="96" customWidth="1"/>
    <col min="10" max="10" width="16.28125" style="96" customWidth="1"/>
    <col min="11" max="11" width="11.28125" style="96" customWidth="1"/>
    <col min="12" max="12" width="9.28125" style="96" customWidth="1"/>
    <col min="13" max="13" width="14.28125" style="96" customWidth="1"/>
    <col min="14" max="16384" width="9.28125" style="96" customWidth="1"/>
  </cols>
  <sheetData>
    <row r="1" spans="1:12" ht="17.25">
      <c r="A1" s="425" t="s">
        <v>592</v>
      </c>
      <c r="B1" s="425"/>
      <c r="C1" s="425"/>
      <c r="D1" s="425"/>
      <c r="E1" s="425"/>
      <c r="F1" s="425"/>
      <c r="G1" s="425"/>
      <c r="H1" s="425"/>
      <c r="I1" s="425"/>
      <c r="J1" s="425"/>
      <c r="K1" s="95"/>
      <c r="L1" s="95"/>
    </row>
    <row r="2" spans="1:12" ht="17.25" customHeight="1">
      <c r="A2" s="97"/>
      <c r="B2" s="425"/>
      <c r="C2" s="425"/>
      <c r="D2" s="425"/>
      <c r="E2" s="425"/>
      <c r="F2" s="425"/>
      <c r="G2" s="425"/>
      <c r="H2" s="425"/>
      <c r="I2" s="425"/>
      <c r="J2" s="425"/>
      <c r="K2" s="95"/>
      <c r="L2" s="95"/>
    </row>
    <row r="3" s="98" customFormat="1" ht="12.75" customHeight="1">
      <c r="B3" s="99"/>
    </row>
    <row r="4" spans="1:13" ht="17.25" customHeight="1">
      <c r="A4" s="95"/>
      <c r="B4" s="95"/>
      <c r="C4" s="95"/>
      <c r="D4" s="95"/>
      <c r="E4" s="95"/>
      <c r="F4" s="95"/>
      <c r="G4" s="95"/>
      <c r="H4" s="421" t="s">
        <v>518</v>
      </c>
      <c r="I4" s="422"/>
      <c r="J4" s="423"/>
      <c r="K4" s="421" t="s">
        <v>291</v>
      </c>
      <c r="L4" s="422"/>
      <c r="M4" s="423"/>
    </row>
    <row r="5" spans="4:13" ht="39" customHeight="1">
      <c r="D5" s="100" t="s">
        <v>161</v>
      </c>
      <c r="E5" s="150" t="s">
        <v>519</v>
      </c>
      <c r="F5" s="150" t="s">
        <v>520</v>
      </c>
      <c r="G5" s="100" t="s">
        <v>162</v>
      </c>
      <c r="H5" s="101" t="s">
        <v>163</v>
      </c>
      <c r="I5" s="102" t="s">
        <v>147</v>
      </c>
      <c r="J5" s="103" t="s">
        <v>164</v>
      </c>
      <c r="K5" s="220" t="s">
        <v>292</v>
      </c>
      <c r="L5" s="221" t="s">
        <v>293</v>
      </c>
      <c r="M5" s="222" t="s">
        <v>168</v>
      </c>
    </row>
    <row r="6" spans="1:13" ht="15" customHeight="1">
      <c r="A6" s="96" t="s">
        <v>165</v>
      </c>
      <c r="D6" s="104">
        <v>101.6</v>
      </c>
      <c r="E6" s="105">
        <f>('2024 budget comp'!Q$11/(SUM(D$6:D$7))*D6)</f>
        <v>759674.8762527233</v>
      </c>
      <c r="F6" s="106">
        <f>('2024 budget comp'!Q$68/SUM(D$6:D$7))*D6</f>
        <v>159372.54901960783</v>
      </c>
      <c r="G6" s="106">
        <f>SUM(E6:F6)</f>
        <v>919047.4252723311</v>
      </c>
      <c r="H6" s="107">
        <f aca="true" t="shared" si="0" ref="H6:I8">E6/12</f>
        <v>63306.23968772694</v>
      </c>
      <c r="I6" s="108">
        <f t="shared" si="0"/>
        <v>13281.045751633987</v>
      </c>
      <c r="J6" s="109">
        <f>SUM(H6:I6)</f>
        <v>76587.28543936093</v>
      </c>
      <c r="K6" s="145">
        <f aca="true" t="shared" si="1" ref="K6:M7">(H18-E18)/H18</f>
        <v>-0.06518013539008746</v>
      </c>
      <c r="L6" s="145">
        <f t="shared" si="1"/>
        <v>-0.09090909090909087</v>
      </c>
      <c r="M6" s="148">
        <f t="shared" si="1"/>
        <v>-0.06955447098762914</v>
      </c>
    </row>
    <row r="7" spans="1:13" ht="15" customHeight="1">
      <c r="A7" s="96" t="s">
        <v>166</v>
      </c>
      <c r="D7" s="104">
        <v>82</v>
      </c>
      <c r="E7" s="105">
        <f>('2024 budget comp'!Q$11/(SUM(D$6:D$7))*D7)</f>
        <v>613123.4237472768</v>
      </c>
      <c r="F7" s="106">
        <f>('2024 budget comp'!Q$68/SUM(D$6:D$7))*D7</f>
        <v>128627.45098039217</v>
      </c>
      <c r="G7" s="106">
        <f>SUM(E7:F7)</f>
        <v>741750.8747276689</v>
      </c>
      <c r="H7" s="110">
        <f t="shared" si="0"/>
        <v>51093.618645606395</v>
      </c>
      <c r="I7" s="111">
        <f t="shared" si="0"/>
        <v>10718.954248366013</v>
      </c>
      <c r="J7" s="112">
        <f>SUM(H7:I7)</f>
        <v>61812.57289397241</v>
      </c>
      <c r="K7" s="144">
        <f t="shared" si="1"/>
        <v>-0.06518013539008745</v>
      </c>
      <c r="L7" s="146">
        <f t="shared" si="1"/>
        <v>-0.09090909090909087</v>
      </c>
      <c r="M7" s="149">
        <f t="shared" si="1"/>
        <v>-0.06955447098762912</v>
      </c>
    </row>
    <row r="8" spans="1:13" ht="15" customHeight="1">
      <c r="A8" s="96" t="s">
        <v>167</v>
      </c>
      <c r="D8" s="104"/>
      <c r="E8" s="105">
        <f>'2024 Detail'!O14</f>
        <v>22008</v>
      </c>
      <c r="F8" s="106"/>
      <c r="G8" s="106">
        <f>SUM(E8:F8)</f>
        <v>22008</v>
      </c>
      <c r="H8" s="110">
        <f t="shared" si="0"/>
        <v>1834</v>
      </c>
      <c r="I8" s="111">
        <f t="shared" si="0"/>
        <v>0</v>
      </c>
      <c r="J8" s="112">
        <f>SUM(H8:I8)</f>
        <v>1834</v>
      </c>
      <c r="K8" s="144"/>
      <c r="L8" s="114"/>
      <c r="M8" s="115"/>
    </row>
    <row r="9" spans="4:13" ht="14.25" customHeight="1">
      <c r="D9" s="104"/>
      <c r="E9" s="105"/>
      <c r="F9" s="106"/>
      <c r="G9" s="106"/>
      <c r="H9" s="110"/>
      <c r="I9" s="111"/>
      <c r="J9" s="112"/>
      <c r="K9" s="113"/>
      <c r="L9" s="114"/>
      <c r="M9" s="115"/>
    </row>
    <row r="10" spans="1:13" ht="12.75" customHeight="1">
      <c r="A10" s="96" t="s">
        <v>168</v>
      </c>
      <c r="D10" s="104">
        <f aca="true" t="shared" si="2" ref="D10:I10">SUM(D6:D9)</f>
        <v>183.6</v>
      </c>
      <c r="E10" s="105">
        <f t="shared" si="2"/>
        <v>1394806.3</v>
      </c>
      <c r="F10" s="106">
        <f t="shared" si="2"/>
        <v>288000</v>
      </c>
      <c r="G10" s="106">
        <f t="shared" si="2"/>
        <v>1682806.3</v>
      </c>
      <c r="H10" s="116">
        <f t="shared" si="2"/>
        <v>116233.85833333334</v>
      </c>
      <c r="I10" s="117">
        <f t="shared" si="2"/>
        <v>24000</v>
      </c>
      <c r="J10" s="118">
        <f>SUM(J6:J8)</f>
        <v>140233.85833333334</v>
      </c>
      <c r="K10" s="116"/>
      <c r="L10" s="117"/>
      <c r="M10" s="118"/>
    </row>
    <row r="11" spans="2:10" ht="12.75" customHeight="1">
      <c r="B11" s="96" t="s">
        <v>169</v>
      </c>
      <c r="D11" s="104"/>
      <c r="E11" s="105">
        <f>'2024 budget comp'!Q12</f>
        <v>144</v>
      </c>
      <c r="F11" s="106"/>
      <c r="G11" s="106"/>
      <c r="H11" s="108"/>
      <c r="I11" s="108"/>
      <c r="J11" s="111"/>
    </row>
    <row r="12" spans="1:10" ht="12.75" customHeight="1">
      <c r="A12" s="96" t="s">
        <v>170</v>
      </c>
      <c r="D12" s="104"/>
      <c r="E12" s="105">
        <f>SUM(E10:E11)</f>
        <v>1394950.3</v>
      </c>
      <c r="F12" s="106"/>
      <c r="G12" s="106"/>
      <c r="H12" s="111">
        <f>H10*12</f>
        <v>1394806.3</v>
      </c>
      <c r="I12" s="111">
        <f>I10*12</f>
        <v>288000</v>
      </c>
      <c r="J12" s="111">
        <f>J10*12</f>
        <v>1682806.3</v>
      </c>
    </row>
    <row r="13" spans="6:12" s="98" customFormat="1" ht="18" customHeight="1">
      <c r="F13" s="119"/>
      <c r="G13" s="119"/>
      <c r="H13" s="119"/>
      <c r="I13" s="119"/>
      <c r="J13" s="119">
        <f>SUM(J6:J7)</f>
        <v>138399.85833333334</v>
      </c>
      <c r="K13" s="119"/>
      <c r="L13" s="120"/>
    </row>
    <row r="14" spans="1:13" s="185" customFormat="1" ht="25.5" customHeight="1">
      <c r="A14" s="424" t="s">
        <v>521</v>
      </c>
      <c r="B14" s="424"/>
      <c r="C14" s="424"/>
      <c r="D14" s="424"/>
      <c r="E14" s="424"/>
      <c r="F14" s="424"/>
      <c r="G14" s="424"/>
      <c r="H14" s="424"/>
      <c r="I14" s="424"/>
      <c r="J14" s="424"/>
      <c r="K14" s="139"/>
      <c r="L14" s="139"/>
      <c r="M14" s="184"/>
    </row>
    <row r="15" spans="1:13" s="98" customFormat="1" ht="15.75" customHeight="1">
      <c r="A15" s="186" t="s">
        <v>412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20"/>
    </row>
    <row r="16" spans="5:14" s="98" customFormat="1" ht="44.25" customHeight="1">
      <c r="E16" s="187" t="s">
        <v>517</v>
      </c>
      <c r="F16" s="188" t="s">
        <v>522</v>
      </c>
      <c r="G16" s="189" t="s">
        <v>523</v>
      </c>
      <c r="H16" s="187" t="s">
        <v>516</v>
      </c>
      <c r="I16" s="188" t="s">
        <v>482</v>
      </c>
      <c r="J16" s="189" t="s">
        <v>524</v>
      </c>
      <c r="K16" s="141" t="s">
        <v>10</v>
      </c>
      <c r="L16" s="141"/>
      <c r="M16" s="141" t="s">
        <v>171</v>
      </c>
      <c r="N16" s="120"/>
    </row>
    <row r="17" spans="4:16" ht="12.75">
      <c r="D17" s="100" t="s">
        <v>161</v>
      </c>
      <c r="E17" s="190"/>
      <c r="F17" s="100"/>
      <c r="G17" s="191"/>
      <c r="H17" s="192"/>
      <c r="I17" s="100"/>
      <c r="J17" s="191"/>
      <c r="K17" s="143"/>
      <c r="L17" s="143"/>
      <c r="M17" s="100"/>
      <c r="N17" s="100"/>
      <c r="O17" s="100"/>
      <c r="P17" s="100"/>
    </row>
    <row r="18" spans="1:13" ht="12.75">
      <c r="A18" s="96" t="s">
        <v>165</v>
      </c>
      <c r="D18" s="104">
        <v>101.6</v>
      </c>
      <c r="E18" s="193">
        <f>(H6/D18)</f>
        <v>623.092910312273</v>
      </c>
      <c r="F18" s="142">
        <f>I6/D18</f>
        <v>130.718954248366</v>
      </c>
      <c r="G18" s="194">
        <f>SUM(E18:F18)</f>
        <v>753.811864560639</v>
      </c>
      <c r="H18" s="195">
        <v>584.9648238925199</v>
      </c>
      <c r="I18" s="142">
        <v>119.82570806100217</v>
      </c>
      <c r="J18" s="196">
        <f>SUM(H18:I18)</f>
        <v>704.7905319535221</v>
      </c>
      <c r="K18" s="142">
        <f>J18-G18</f>
        <v>-49.02133260711696</v>
      </c>
      <c r="L18" s="146">
        <f>(J18-G18)/J18</f>
        <v>-0.06955447098762914</v>
      </c>
      <c r="M18" s="142">
        <f>SUM(E18:F18)*D18*12</f>
        <v>919047.425272331</v>
      </c>
    </row>
    <row r="19" spans="1:13" ht="12.75">
      <c r="A19" s="96" t="s">
        <v>166</v>
      </c>
      <c r="C19" s="197"/>
      <c r="D19" s="104">
        <v>82</v>
      </c>
      <c r="E19" s="110">
        <f>H7/D19</f>
        <v>623.0929103122731</v>
      </c>
      <c r="F19" s="111">
        <f>I7/D19</f>
        <v>130.718954248366</v>
      </c>
      <c r="G19" s="194">
        <f>SUM(E19:F19)</f>
        <v>753.8118645606392</v>
      </c>
      <c r="H19" s="195">
        <v>584.96482389252</v>
      </c>
      <c r="I19" s="142">
        <v>119.82570806100217</v>
      </c>
      <c r="J19" s="196">
        <f>SUM(H19:I19)</f>
        <v>704.7905319535222</v>
      </c>
      <c r="K19" s="142">
        <f>J19-G19</f>
        <v>-49.02133260711696</v>
      </c>
      <c r="L19" s="146">
        <f>(J19-G19)/J19</f>
        <v>-0.06955447098762912</v>
      </c>
      <c r="M19" s="111">
        <f>SUM(E19:F19)*D19*12</f>
        <v>741750.8747276689</v>
      </c>
    </row>
    <row r="20" spans="1:13" ht="12.75">
      <c r="A20" s="96" t="s">
        <v>167</v>
      </c>
      <c r="E20" s="110">
        <f>H8</f>
        <v>1834</v>
      </c>
      <c r="F20" s="111"/>
      <c r="G20" s="194">
        <f>SUM(E20:F20)</f>
        <v>1834</v>
      </c>
      <c r="H20" s="198">
        <v>1654</v>
      </c>
      <c r="I20" s="111"/>
      <c r="J20" s="196">
        <f>SUM(H20:I20)</f>
        <v>1654</v>
      </c>
      <c r="K20" s="142">
        <f>J20-G20</f>
        <v>-180</v>
      </c>
      <c r="L20" s="146">
        <f>(J20-G20)/J20</f>
        <v>-0.10882708585247884</v>
      </c>
      <c r="M20" s="111">
        <f>E20*12</f>
        <v>22008</v>
      </c>
    </row>
    <row r="21" spans="5:13" ht="12.75">
      <c r="E21" s="110"/>
      <c r="F21" s="111"/>
      <c r="G21" s="112"/>
      <c r="H21" s="192"/>
      <c r="I21" s="111"/>
      <c r="J21" s="194"/>
      <c r="K21" s="142"/>
      <c r="L21" s="183"/>
      <c r="M21" s="111"/>
    </row>
    <row r="22" spans="5:13" ht="12.75">
      <c r="E22" s="199">
        <f aca="true" t="shared" si="3" ref="E22:M22">SUM(E18:E21)</f>
        <v>3080.185820624546</v>
      </c>
      <c r="F22" s="200">
        <f t="shared" si="3"/>
        <v>261.437908496732</v>
      </c>
      <c r="G22" s="200">
        <f t="shared" si="3"/>
        <v>3341.6237291212783</v>
      </c>
      <c r="H22" s="199">
        <f t="shared" si="3"/>
        <v>2823.92964778504</v>
      </c>
      <c r="I22" s="200">
        <f t="shared" si="3"/>
        <v>239.65141612200435</v>
      </c>
      <c r="J22" s="201">
        <f t="shared" si="3"/>
        <v>3063.581063907044</v>
      </c>
      <c r="K22" s="142">
        <f t="shared" si="3"/>
        <v>-278.0426652142339</v>
      </c>
      <c r="L22" s="183"/>
      <c r="M22" s="142">
        <f t="shared" si="3"/>
        <v>1682806.2999999998</v>
      </c>
    </row>
    <row r="23" ht="27" customHeight="1">
      <c r="L23" s="104"/>
    </row>
    <row r="24" spans="2:12" ht="12.75">
      <c r="B24" s="332" t="s">
        <v>472</v>
      </c>
      <c r="E24" s="142">
        <f>(E18*$D18)+(E19*$D19)+$E20</f>
        <v>116233.85833333334</v>
      </c>
      <c r="F24" s="142">
        <f>(F18*$D18)+(F19*$D19)</f>
        <v>23999.999999999996</v>
      </c>
      <c r="G24" s="142">
        <f>SUM(E24:F24)</f>
        <v>140233.85833333334</v>
      </c>
      <c r="H24" s="142"/>
      <c r="L24" s="104"/>
    </row>
    <row r="25" spans="1:13" ht="12.75">
      <c r="A25" s="98" t="s">
        <v>160</v>
      </c>
      <c r="M25" s="283"/>
    </row>
    <row r="26" spans="2:13" ht="12.75">
      <c r="B26" s="99"/>
      <c r="M26" s="284"/>
    </row>
    <row r="27" spans="2:13" ht="12.75">
      <c r="B27" s="99"/>
      <c r="G27" s="142"/>
      <c r="M27" s="283"/>
    </row>
    <row r="28" ht="12.75">
      <c r="B28" s="99"/>
    </row>
    <row r="29" ht="12.75">
      <c r="B29" s="99"/>
    </row>
    <row r="30" ht="12.75">
      <c r="B30" s="99"/>
    </row>
    <row r="35" spans="6:8" ht="12.75">
      <c r="F35" s="298"/>
      <c r="G35" s="298"/>
      <c r="H35" s="298"/>
    </row>
    <row r="36" spans="6:8" ht="12.75">
      <c r="F36" s="298"/>
      <c r="G36" s="298"/>
      <c r="H36" s="298"/>
    </row>
    <row r="37" spans="6:8" ht="12.75">
      <c r="F37" s="298"/>
      <c r="G37" s="298"/>
      <c r="H37" s="298"/>
    </row>
    <row r="38" spans="6:8" ht="12.75">
      <c r="F38" s="298"/>
      <c r="G38" s="298"/>
      <c r="H38" s="299"/>
    </row>
    <row r="39" spans="7:8" ht="12.75">
      <c r="G39" s="298"/>
      <c r="H39" s="298"/>
    </row>
    <row r="41" ht="12.75">
      <c r="G41" s="142"/>
    </row>
    <row r="50" ht="3" customHeight="1"/>
    <row r="51" ht="12.75" hidden="1"/>
    <row r="52" ht="12.75" hidden="1"/>
    <row r="53" ht="12.75" hidden="1"/>
  </sheetData>
  <sheetProtection/>
  <mergeCells count="5">
    <mergeCell ref="H4:J4"/>
    <mergeCell ref="A14:J14"/>
    <mergeCell ref="A1:J1"/>
    <mergeCell ref="B2:J2"/>
    <mergeCell ref="K4:M4"/>
  </mergeCells>
  <printOptions horizontalCentered="1"/>
  <pageMargins left="0.33" right="0.23" top="0.45" bottom="0.28" header="0.26" footer="0.2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7.28125" style="175" hidden="1" customWidth="1"/>
    <col min="3" max="3" width="12.7109375" style="232" customWidth="1"/>
    <col min="7" max="7" width="9.140625" style="0" bestFit="1" customWidth="1"/>
    <col min="13" max="13" width="8.7109375" style="289" customWidth="1"/>
    <col min="14" max="14" width="3.28125" style="0" customWidth="1"/>
  </cols>
  <sheetData>
    <row r="1" ht="12.75">
      <c r="A1" t="s">
        <v>486</v>
      </c>
    </row>
    <row r="4" spans="2:13" ht="12.75">
      <c r="B4" s="175" t="s">
        <v>379</v>
      </c>
      <c r="C4" s="232" t="s">
        <v>380</v>
      </c>
      <c r="D4" s="175" t="s">
        <v>275</v>
      </c>
      <c r="E4" s="175" t="s">
        <v>277</v>
      </c>
      <c r="F4" s="175" t="s">
        <v>279</v>
      </c>
      <c r="G4" s="175" t="s">
        <v>280</v>
      </c>
      <c r="H4" s="175" t="s">
        <v>281</v>
      </c>
      <c r="I4" s="175" t="s">
        <v>282</v>
      </c>
      <c r="J4" s="175" t="s">
        <v>283</v>
      </c>
      <c r="K4" s="175" t="s">
        <v>284</v>
      </c>
      <c r="L4" s="175" t="s">
        <v>288</v>
      </c>
      <c r="M4" s="290" t="s">
        <v>381</v>
      </c>
    </row>
    <row r="5" spans="1:13" ht="12.75">
      <c r="A5" t="s">
        <v>151</v>
      </c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91">
        <f>SUM(C5:L5)</f>
        <v>0</v>
      </c>
    </row>
    <row r="6" spans="1:13" ht="12.75">
      <c r="A6" s="174" t="s">
        <v>465</v>
      </c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91">
        <f aca="true" t="shared" si="0" ref="M6:M70">SUM(C6:L6)</f>
        <v>0</v>
      </c>
    </row>
    <row r="7" spans="1:13" ht="12.75">
      <c r="A7" t="s">
        <v>445</v>
      </c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91">
        <f t="shared" si="0"/>
        <v>0</v>
      </c>
    </row>
    <row r="8" spans="1:13" ht="12.75">
      <c r="A8" t="s">
        <v>401</v>
      </c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91">
        <f t="shared" si="0"/>
        <v>0</v>
      </c>
    </row>
    <row r="9" spans="1:13" ht="12.75">
      <c r="A9" t="s">
        <v>382</v>
      </c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91">
        <f t="shared" si="0"/>
        <v>0</v>
      </c>
    </row>
    <row r="10" spans="1:13" ht="12.75">
      <c r="A10" s="153" t="s">
        <v>403</v>
      </c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91">
        <f t="shared" si="0"/>
        <v>0</v>
      </c>
    </row>
    <row r="11" spans="1:13" ht="12.75">
      <c r="A11" s="174" t="s">
        <v>451</v>
      </c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91">
        <f t="shared" si="0"/>
        <v>0</v>
      </c>
    </row>
    <row r="12" spans="1:15" ht="12.75">
      <c r="A12" s="153" t="s">
        <v>405</v>
      </c>
      <c r="B12" s="273"/>
      <c r="C12" s="274">
        <v>12500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91">
        <f t="shared" si="0"/>
        <v>12500</v>
      </c>
      <c r="O12">
        <v>6372</v>
      </c>
    </row>
    <row r="13" spans="1:13" ht="12.75">
      <c r="A13" s="153" t="s">
        <v>553</v>
      </c>
      <c r="B13" s="273"/>
      <c r="C13" s="274">
        <v>8000</v>
      </c>
      <c r="D13" s="274"/>
      <c r="E13" s="274"/>
      <c r="F13" s="274"/>
      <c r="G13" s="274"/>
      <c r="H13" s="274"/>
      <c r="I13" s="274"/>
      <c r="J13" s="274"/>
      <c r="K13" s="274"/>
      <c r="L13" s="274"/>
      <c r="M13" s="291">
        <f t="shared" si="0"/>
        <v>8000</v>
      </c>
    </row>
    <row r="14" spans="1:13" ht="12.75">
      <c r="A14" s="153" t="s">
        <v>404</v>
      </c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91">
        <f t="shared" si="0"/>
        <v>0</v>
      </c>
    </row>
    <row r="15" spans="1:13" ht="12.75">
      <c r="A15" t="s">
        <v>384</v>
      </c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91">
        <f t="shared" si="0"/>
        <v>0</v>
      </c>
    </row>
    <row r="16" spans="1:15" ht="12.75">
      <c r="A16" s="153" t="s">
        <v>413</v>
      </c>
      <c r="B16" s="273"/>
      <c r="C16" s="274"/>
      <c r="D16" s="275"/>
      <c r="E16" s="275"/>
      <c r="F16" s="275"/>
      <c r="G16" s="275"/>
      <c r="H16" s="275"/>
      <c r="I16" s="275"/>
      <c r="J16" s="275"/>
      <c r="K16" s="275"/>
      <c r="L16" s="275"/>
      <c r="M16" s="291">
        <f t="shared" si="0"/>
        <v>0</v>
      </c>
      <c r="O16">
        <v>6372</v>
      </c>
    </row>
    <row r="17" spans="1:13" ht="12.75">
      <c r="A17" s="174" t="s">
        <v>452</v>
      </c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91">
        <f t="shared" si="0"/>
        <v>0</v>
      </c>
    </row>
    <row r="18" spans="1:15" ht="12.75">
      <c r="A18" s="153" t="s">
        <v>446</v>
      </c>
      <c r="B18" s="273"/>
      <c r="C18" s="274">
        <v>26500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91">
        <f t="shared" si="0"/>
        <v>26500</v>
      </c>
      <c r="O18">
        <v>6720</v>
      </c>
    </row>
    <row r="19" spans="1:13" ht="12.75">
      <c r="A19" s="174" t="s">
        <v>453</v>
      </c>
      <c r="B19" s="273"/>
      <c r="C19" s="274"/>
      <c r="D19" s="275"/>
      <c r="E19" s="275"/>
      <c r="F19" s="275"/>
      <c r="G19" s="275"/>
      <c r="H19" s="275"/>
      <c r="I19" s="275"/>
      <c r="J19" s="275"/>
      <c r="K19" s="275"/>
      <c r="L19" s="275"/>
      <c r="M19" s="291">
        <f t="shared" si="0"/>
        <v>0</v>
      </c>
    </row>
    <row r="20" spans="1:13" ht="12.75">
      <c r="A20" s="153" t="s">
        <v>455</v>
      </c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91">
        <f t="shared" si="0"/>
        <v>0</v>
      </c>
    </row>
    <row r="21" spans="1:13" ht="12.75">
      <c r="A21" s="153" t="s">
        <v>454</v>
      </c>
      <c r="B21" s="273"/>
      <c r="C21" s="274"/>
      <c r="D21" s="275"/>
      <c r="E21" s="275"/>
      <c r="F21" s="275"/>
      <c r="G21" s="275"/>
      <c r="H21" s="275"/>
      <c r="I21" s="275"/>
      <c r="J21" s="275"/>
      <c r="K21" s="275"/>
      <c r="L21" s="275"/>
      <c r="M21" s="291">
        <f t="shared" si="0"/>
        <v>0</v>
      </c>
    </row>
    <row r="22" spans="1:13" ht="12.75">
      <c r="A22" t="s">
        <v>383</v>
      </c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91">
        <f t="shared" si="0"/>
        <v>0</v>
      </c>
    </row>
    <row r="23" spans="1:13" ht="12.75">
      <c r="A23" t="s">
        <v>322</v>
      </c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91">
        <f t="shared" si="0"/>
        <v>0</v>
      </c>
    </row>
    <row r="24" spans="1:13" ht="12.75">
      <c r="A24" s="153" t="s">
        <v>456</v>
      </c>
      <c r="B24" s="273"/>
      <c r="C24" s="274">
        <v>75000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91">
        <f t="shared" si="0"/>
        <v>75000</v>
      </c>
    </row>
    <row r="25" spans="1:13" ht="12.75">
      <c r="A25" s="174" t="s">
        <v>457</v>
      </c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91">
        <f t="shared" si="0"/>
        <v>0</v>
      </c>
    </row>
    <row r="26" spans="1:15" ht="12.75">
      <c r="A26" s="153" t="s">
        <v>555</v>
      </c>
      <c r="B26" s="273"/>
      <c r="C26" s="274">
        <v>72000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91">
        <f t="shared" si="0"/>
        <v>72000</v>
      </c>
      <c r="O26">
        <v>6611</v>
      </c>
    </row>
    <row r="27" spans="1:13" ht="12.75">
      <c r="A27" s="153" t="s">
        <v>554</v>
      </c>
      <c r="B27" s="273"/>
      <c r="C27" s="274">
        <v>21000</v>
      </c>
      <c r="D27" s="275"/>
      <c r="E27" s="275"/>
      <c r="F27" s="275"/>
      <c r="G27" s="275"/>
      <c r="H27" s="275"/>
      <c r="I27" s="275"/>
      <c r="J27" s="275"/>
      <c r="K27" s="275"/>
      <c r="L27" s="275"/>
      <c r="M27" s="291">
        <f t="shared" si="0"/>
        <v>21000</v>
      </c>
    </row>
    <row r="28" spans="1:13" ht="12.75">
      <c r="A28" s="153" t="s">
        <v>556</v>
      </c>
      <c r="B28" s="273"/>
      <c r="C28" s="274">
        <v>82500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91">
        <f t="shared" si="0"/>
        <v>82500</v>
      </c>
    </row>
    <row r="29" spans="1:13" ht="12.75">
      <c r="A29" s="174" t="s">
        <v>458</v>
      </c>
      <c r="B29" s="273"/>
      <c r="C29" s="288"/>
      <c r="D29" s="274"/>
      <c r="E29" s="274"/>
      <c r="F29" s="274"/>
      <c r="G29" s="274"/>
      <c r="H29" s="274"/>
      <c r="I29" s="274"/>
      <c r="J29" s="274"/>
      <c r="K29" s="274"/>
      <c r="L29" s="274"/>
      <c r="M29" s="291">
        <f t="shared" si="0"/>
        <v>0</v>
      </c>
    </row>
    <row r="30" spans="1:15" ht="12.75">
      <c r="A30" s="153" t="s">
        <v>447</v>
      </c>
      <c r="B30" s="273"/>
      <c r="C30" s="274">
        <v>6100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91">
        <f t="shared" si="0"/>
        <v>6100</v>
      </c>
      <c r="O30">
        <v>6404</v>
      </c>
    </row>
    <row r="31" spans="1:15" ht="12.75">
      <c r="A31" t="s">
        <v>386</v>
      </c>
      <c r="B31" s="273"/>
      <c r="C31" s="288">
        <v>23000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91">
        <f t="shared" si="0"/>
        <v>23000</v>
      </c>
      <c r="O31">
        <v>6404</v>
      </c>
    </row>
    <row r="32" spans="1:15" ht="12.75">
      <c r="A32" t="s">
        <v>385</v>
      </c>
      <c r="B32" s="273"/>
      <c r="C32" s="288"/>
      <c r="D32" s="274"/>
      <c r="E32" s="274"/>
      <c r="F32" s="274"/>
      <c r="G32" s="274"/>
      <c r="H32" s="274"/>
      <c r="I32" s="274"/>
      <c r="J32" s="274"/>
      <c r="K32" s="274"/>
      <c r="L32" s="274"/>
      <c r="M32" s="291">
        <f t="shared" si="0"/>
        <v>0</v>
      </c>
      <c r="O32">
        <v>6404</v>
      </c>
    </row>
    <row r="33" spans="1:13" ht="12.75">
      <c r="A33" s="174" t="s">
        <v>348</v>
      </c>
      <c r="B33" s="273"/>
      <c r="C33" s="288"/>
      <c r="D33" s="274"/>
      <c r="E33" s="274"/>
      <c r="F33" s="274"/>
      <c r="G33" s="274"/>
      <c r="H33" s="274"/>
      <c r="I33" s="274"/>
      <c r="J33" s="274"/>
      <c r="K33" s="274"/>
      <c r="L33" s="274"/>
      <c r="M33" s="291">
        <f t="shared" si="0"/>
        <v>0</v>
      </c>
    </row>
    <row r="34" spans="1:13" ht="12.75">
      <c r="A34" s="153" t="s">
        <v>459</v>
      </c>
      <c r="B34" s="273"/>
      <c r="C34" s="274"/>
      <c r="D34" s="275"/>
      <c r="E34" s="275"/>
      <c r="F34" s="275"/>
      <c r="G34" s="275"/>
      <c r="H34" s="275"/>
      <c r="I34" s="275"/>
      <c r="J34" s="275"/>
      <c r="K34" s="275"/>
      <c r="L34" s="275"/>
      <c r="M34" s="291">
        <f t="shared" si="0"/>
        <v>0</v>
      </c>
    </row>
    <row r="35" spans="1:13" ht="12.75">
      <c r="A35" s="153" t="s">
        <v>557</v>
      </c>
      <c r="B35" s="273"/>
      <c r="C35" s="274">
        <v>13000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91">
        <f t="shared" si="0"/>
        <v>13000</v>
      </c>
    </row>
    <row r="36" spans="1:13" ht="12.75">
      <c r="A36" s="153" t="s">
        <v>460</v>
      </c>
      <c r="B36" s="273"/>
      <c r="C36" s="274"/>
      <c r="D36" s="275"/>
      <c r="E36" s="275"/>
      <c r="F36" s="275"/>
      <c r="G36" s="275"/>
      <c r="H36" s="275"/>
      <c r="I36" s="275"/>
      <c r="J36" s="275"/>
      <c r="K36" s="275"/>
      <c r="L36" s="275"/>
      <c r="M36" s="291">
        <f t="shared" si="0"/>
        <v>0</v>
      </c>
    </row>
    <row r="37" spans="1:13" ht="12.75">
      <c r="A37" s="153" t="s">
        <v>461</v>
      </c>
      <c r="B37" s="273"/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91">
        <f t="shared" si="0"/>
        <v>0</v>
      </c>
    </row>
    <row r="38" spans="1:13" ht="12.75">
      <c r="A38" s="174" t="s">
        <v>462</v>
      </c>
      <c r="B38" s="273"/>
      <c r="C38" s="274"/>
      <c r="D38" s="275"/>
      <c r="E38" s="275"/>
      <c r="F38" s="275"/>
      <c r="G38" s="275"/>
      <c r="H38" s="275"/>
      <c r="I38" s="275"/>
      <c r="J38" s="275"/>
      <c r="K38" s="275"/>
      <c r="L38" s="275"/>
      <c r="M38" s="291">
        <f t="shared" si="0"/>
        <v>0</v>
      </c>
    </row>
    <row r="39" spans="1:13" ht="12.75">
      <c r="A39" s="153" t="s">
        <v>558</v>
      </c>
      <c r="B39" s="273"/>
      <c r="C39" s="274">
        <v>2650</v>
      </c>
      <c r="D39" s="275"/>
      <c r="E39" s="275"/>
      <c r="F39" s="275"/>
      <c r="G39" s="276"/>
      <c r="H39" s="275"/>
      <c r="I39" s="275"/>
      <c r="J39" s="275"/>
      <c r="K39" s="275"/>
      <c r="L39" s="275"/>
      <c r="M39" s="291">
        <f t="shared" si="0"/>
        <v>2650</v>
      </c>
    </row>
    <row r="40" spans="1:13" ht="12.75">
      <c r="A40" s="153" t="s">
        <v>559</v>
      </c>
      <c r="B40" s="273"/>
      <c r="C40" s="274">
        <v>27500</v>
      </c>
      <c r="D40" s="275"/>
      <c r="E40" s="275"/>
      <c r="F40" s="275"/>
      <c r="G40" s="276"/>
      <c r="H40" s="275"/>
      <c r="I40" s="275"/>
      <c r="J40" s="275"/>
      <c r="K40" s="275"/>
      <c r="L40" s="275"/>
      <c r="M40" s="291">
        <f t="shared" si="0"/>
        <v>27500</v>
      </c>
    </row>
    <row r="41" spans="1:13" ht="12.75">
      <c r="A41" t="s">
        <v>387</v>
      </c>
      <c r="B41" s="273"/>
      <c r="C41" s="274"/>
      <c r="D41" s="274"/>
      <c r="E41" s="274"/>
      <c r="F41" s="274"/>
      <c r="G41" s="274"/>
      <c r="H41" s="274"/>
      <c r="I41" s="274"/>
      <c r="J41" s="274">
        <v>12250</v>
      </c>
      <c r="K41" s="274">
        <v>12250</v>
      </c>
      <c r="L41" s="274">
        <v>0</v>
      </c>
      <c r="M41" s="291">
        <f t="shared" si="0"/>
        <v>24500</v>
      </c>
    </row>
    <row r="42" spans="1:13" ht="12.75">
      <c r="A42" t="s">
        <v>388</v>
      </c>
      <c r="B42" s="273"/>
      <c r="C42" s="274"/>
      <c r="D42" s="274"/>
      <c r="E42" s="274"/>
      <c r="F42" s="274"/>
      <c r="G42" s="274">
        <v>49500</v>
      </c>
      <c r="H42" s="274"/>
      <c r="I42" s="274">
        <v>21000</v>
      </c>
      <c r="J42" s="274"/>
      <c r="K42" s="274"/>
      <c r="L42" s="274"/>
      <c r="M42" s="291">
        <f t="shared" si="0"/>
        <v>70500</v>
      </c>
    </row>
    <row r="43" spans="1:13" ht="12.75">
      <c r="A43" t="s">
        <v>389</v>
      </c>
      <c r="B43" s="273"/>
      <c r="C43" s="274"/>
      <c r="D43" s="274"/>
      <c r="E43" s="274"/>
      <c r="F43" s="274"/>
      <c r="G43" s="274">
        <v>5250</v>
      </c>
      <c r="H43" s="274"/>
      <c r="I43" s="274"/>
      <c r="J43" s="274"/>
      <c r="K43" s="274"/>
      <c r="L43" s="274"/>
      <c r="M43" s="291">
        <f t="shared" si="0"/>
        <v>5250</v>
      </c>
    </row>
    <row r="44" spans="1:13" ht="12.75">
      <c r="A44" s="153" t="s">
        <v>560</v>
      </c>
      <c r="B44" s="273"/>
      <c r="C44" s="274"/>
      <c r="D44" s="274"/>
      <c r="E44" s="274"/>
      <c r="F44" s="274"/>
      <c r="G44" s="274">
        <v>8950</v>
      </c>
      <c r="H44" s="274"/>
      <c r="I44" s="274"/>
      <c r="J44" s="274"/>
      <c r="K44" s="274"/>
      <c r="L44" s="274"/>
      <c r="M44" s="291">
        <f t="shared" si="0"/>
        <v>8950</v>
      </c>
    </row>
    <row r="45" spans="1:15" ht="13.5" customHeight="1">
      <c r="A45" t="s">
        <v>286</v>
      </c>
      <c r="B45" s="273"/>
      <c r="C45" s="274"/>
      <c r="D45" s="355"/>
      <c r="E45" s="355"/>
      <c r="F45" s="355"/>
      <c r="G45" s="356">
        <v>5250</v>
      </c>
      <c r="H45" s="274"/>
      <c r="I45" s="274">
        <v>4400</v>
      </c>
      <c r="J45" s="274"/>
      <c r="K45" s="274">
        <v>2300</v>
      </c>
      <c r="L45" s="274"/>
      <c r="M45" s="291">
        <f t="shared" si="0"/>
        <v>11950</v>
      </c>
      <c r="O45">
        <v>6332</v>
      </c>
    </row>
    <row r="46" spans="1:15" ht="13.5" customHeight="1">
      <c r="A46" t="s">
        <v>392</v>
      </c>
      <c r="B46" s="273"/>
      <c r="C46" s="274"/>
      <c r="D46" s="355"/>
      <c r="E46" s="355"/>
      <c r="F46" s="355"/>
      <c r="G46" s="355"/>
      <c r="H46" s="274"/>
      <c r="I46" s="274"/>
      <c r="J46" s="274"/>
      <c r="K46" s="274"/>
      <c r="L46" s="274"/>
      <c r="M46" s="291">
        <f t="shared" si="0"/>
        <v>0</v>
      </c>
      <c r="O46">
        <v>6332</v>
      </c>
    </row>
    <row r="47" spans="1:15" ht="13.5" customHeight="1">
      <c r="A47" t="s">
        <v>414</v>
      </c>
      <c r="B47" s="273"/>
      <c r="C47" s="274"/>
      <c r="D47" s="356">
        <v>4750</v>
      </c>
      <c r="E47" s="355"/>
      <c r="F47" s="355"/>
      <c r="G47" s="355"/>
      <c r="H47" s="274"/>
      <c r="I47" s="274"/>
      <c r="J47" s="274"/>
      <c r="K47" s="274"/>
      <c r="L47" s="274"/>
      <c r="M47" s="291">
        <f t="shared" si="0"/>
        <v>4750</v>
      </c>
      <c r="O47">
        <v>6332</v>
      </c>
    </row>
    <row r="48" spans="1:15" ht="13.5" customHeight="1">
      <c r="A48" t="s">
        <v>391</v>
      </c>
      <c r="B48" s="273"/>
      <c r="C48" s="274"/>
      <c r="D48" s="355">
        <v>1300</v>
      </c>
      <c r="E48" s="355">
        <v>1300</v>
      </c>
      <c r="F48" s="355"/>
      <c r="G48" s="355">
        <v>1300</v>
      </c>
      <c r="H48" s="274"/>
      <c r="I48" s="274">
        <v>1300</v>
      </c>
      <c r="J48" s="274"/>
      <c r="K48" s="274"/>
      <c r="L48" s="274"/>
      <c r="M48" s="291">
        <f t="shared" si="0"/>
        <v>5200</v>
      </c>
      <c r="O48">
        <v>6332</v>
      </c>
    </row>
    <row r="49" spans="1:15" ht="13.5" customHeight="1">
      <c r="A49" s="153" t="s">
        <v>407</v>
      </c>
      <c r="B49" s="273"/>
      <c r="C49" s="274"/>
      <c r="D49" s="356"/>
      <c r="E49" s="355"/>
      <c r="F49" s="355"/>
      <c r="G49" s="356"/>
      <c r="H49" s="274"/>
      <c r="I49" s="274"/>
      <c r="J49" s="274"/>
      <c r="K49" s="274"/>
      <c r="L49" s="274"/>
      <c r="M49" s="291">
        <f t="shared" si="0"/>
        <v>0</v>
      </c>
      <c r="O49">
        <v>6332</v>
      </c>
    </row>
    <row r="50" spans="1:15" ht="13.5" customHeight="1">
      <c r="A50" t="s">
        <v>393</v>
      </c>
      <c r="B50" s="273"/>
      <c r="C50" s="274"/>
      <c r="D50" s="355"/>
      <c r="E50" s="355">
        <v>17500</v>
      </c>
      <c r="F50" s="355"/>
      <c r="G50" s="356">
        <v>23500</v>
      </c>
      <c r="H50" s="274"/>
      <c r="I50" s="274"/>
      <c r="J50" s="274">
        <v>17500</v>
      </c>
      <c r="K50" s="274"/>
      <c r="L50" s="274"/>
      <c r="M50" s="291">
        <f t="shared" si="0"/>
        <v>58500</v>
      </c>
      <c r="O50">
        <v>6332</v>
      </c>
    </row>
    <row r="51" spans="1:15" ht="12.75">
      <c r="A51" t="s">
        <v>285</v>
      </c>
      <c r="B51" s="273"/>
      <c r="C51" s="274"/>
      <c r="D51" s="355"/>
      <c r="E51" s="355"/>
      <c r="F51" s="355"/>
      <c r="G51" s="355"/>
      <c r="H51" s="274"/>
      <c r="I51" s="274"/>
      <c r="J51" s="274"/>
      <c r="K51" s="274"/>
      <c r="L51" s="274"/>
      <c r="M51" s="291">
        <f t="shared" si="0"/>
        <v>0</v>
      </c>
      <c r="O51">
        <v>6332</v>
      </c>
    </row>
    <row r="52" spans="1:15" ht="12.75">
      <c r="A52" t="s">
        <v>278</v>
      </c>
      <c r="B52" s="273"/>
      <c r="C52" s="274"/>
      <c r="D52" s="356">
        <v>4750</v>
      </c>
      <c r="E52" s="355"/>
      <c r="F52" s="355"/>
      <c r="G52" s="356"/>
      <c r="H52" s="274"/>
      <c r="I52" s="274"/>
      <c r="J52" s="274">
        <v>4750</v>
      </c>
      <c r="K52" s="274"/>
      <c r="L52" s="274"/>
      <c r="M52" s="291">
        <f t="shared" si="0"/>
        <v>9500</v>
      </c>
      <c r="O52">
        <v>6332</v>
      </c>
    </row>
    <row r="53" spans="1:15" ht="12.75">
      <c r="A53" t="s">
        <v>421</v>
      </c>
      <c r="B53" s="273"/>
      <c r="C53" s="274"/>
      <c r="D53" s="355"/>
      <c r="E53" s="355"/>
      <c r="F53" s="355"/>
      <c r="G53" s="355">
        <v>1300</v>
      </c>
      <c r="H53" s="274"/>
      <c r="I53" s="274"/>
      <c r="J53" s="274"/>
      <c r="K53" s="274"/>
      <c r="L53" s="274"/>
      <c r="M53" s="291">
        <f t="shared" si="0"/>
        <v>1300</v>
      </c>
      <c r="O53">
        <v>6332</v>
      </c>
    </row>
    <row r="54" spans="1:15" ht="12.75">
      <c r="A54" t="s">
        <v>390</v>
      </c>
      <c r="B54" s="273"/>
      <c r="C54" s="274"/>
      <c r="D54" s="357"/>
      <c r="E54" s="358"/>
      <c r="F54" s="358"/>
      <c r="G54" s="358"/>
      <c r="H54" s="281"/>
      <c r="I54" s="281">
        <v>2500</v>
      </c>
      <c r="J54" s="275"/>
      <c r="K54" s="275"/>
      <c r="L54" s="275"/>
      <c r="M54" s="291">
        <f t="shared" si="0"/>
        <v>2500</v>
      </c>
      <c r="O54">
        <v>6332</v>
      </c>
    </row>
    <row r="55" spans="1:15" ht="12.75">
      <c r="A55" t="s">
        <v>276</v>
      </c>
      <c r="B55" s="273"/>
      <c r="C55" s="274"/>
      <c r="D55" s="357">
        <v>7100</v>
      </c>
      <c r="E55" s="388">
        <v>7100</v>
      </c>
      <c r="F55" s="357">
        <v>7100</v>
      </c>
      <c r="G55" s="357">
        <v>7100</v>
      </c>
      <c r="H55" s="281"/>
      <c r="I55" s="276"/>
      <c r="J55" s="281">
        <v>7100</v>
      </c>
      <c r="K55" s="281">
        <v>7100</v>
      </c>
      <c r="L55" s="275">
        <v>0</v>
      </c>
      <c r="M55" s="291">
        <f t="shared" si="0"/>
        <v>42600</v>
      </c>
      <c r="O55">
        <v>6332</v>
      </c>
    </row>
    <row r="56" spans="1:13" ht="12.75">
      <c r="A56" s="174" t="s">
        <v>152</v>
      </c>
      <c r="B56" s="273"/>
      <c r="C56" s="274"/>
      <c r="D56" s="358"/>
      <c r="E56" s="358"/>
      <c r="F56" s="358"/>
      <c r="G56" s="358"/>
      <c r="H56" s="275"/>
      <c r="I56" s="275"/>
      <c r="J56" s="275"/>
      <c r="K56" s="275"/>
      <c r="L56" s="275"/>
      <c r="M56" s="291">
        <f t="shared" si="0"/>
        <v>0</v>
      </c>
    </row>
    <row r="57" spans="1:15" ht="12.75">
      <c r="A57" s="153" t="s">
        <v>562</v>
      </c>
      <c r="B57" s="273"/>
      <c r="C57" s="274">
        <v>27150</v>
      </c>
      <c r="D57" s="355"/>
      <c r="E57" s="355"/>
      <c r="F57" s="355"/>
      <c r="G57" s="355"/>
      <c r="H57" s="274"/>
      <c r="I57" s="274"/>
      <c r="J57" s="274"/>
      <c r="K57" s="274"/>
      <c r="L57" s="274"/>
      <c r="M57" s="291">
        <f t="shared" si="0"/>
        <v>27150</v>
      </c>
      <c r="O57">
        <v>6335</v>
      </c>
    </row>
    <row r="58" spans="1:15" ht="12.75">
      <c r="A58" t="s">
        <v>394</v>
      </c>
      <c r="B58" s="273"/>
      <c r="C58" s="274"/>
      <c r="D58" s="355"/>
      <c r="E58" s="355"/>
      <c r="F58" s="355"/>
      <c r="G58" s="355"/>
      <c r="H58" s="274"/>
      <c r="I58" s="274"/>
      <c r="J58" s="274"/>
      <c r="K58" s="274"/>
      <c r="L58" s="274"/>
      <c r="M58" s="291">
        <f t="shared" si="0"/>
        <v>0</v>
      </c>
      <c r="O58">
        <v>6335</v>
      </c>
    </row>
    <row r="59" spans="1:15" ht="12.75">
      <c r="A59" s="153" t="s">
        <v>561</v>
      </c>
      <c r="B59" s="273"/>
      <c r="C59" s="274">
        <v>13000</v>
      </c>
      <c r="D59" s="355"/>
      <c r="E59" s="355"/>
      <c r="F59" s="355"/>
      <c r="G59" s="355"/>
      <c r="H59" s="274"/>
      <c r="I59" s="274"/>
      <c r="J59" s="274"/>
      <c r="K59" s="274"/>
      <c r="L59" s="274"/>
      <c r="M59" s="291">
        <f t="shared" si="0"/>
        <v>13000</v>
      </c>
      <c r="O59">
        <v>6335</v>
      </c>
    </row>
    <row r="60" spans="1:13" ht="12.75">
      <c r="A60" s="174" t="s">
        <v>406</v>
      </c>
      <c r="B60" s="273"/>
      <c r="C60" s="274"/>
      <c r="D60" s="275"/>
      <c r="E60" s="275"/>
      <c r="F60" s="275"/>
      <c r="G60" s="275"/>
      <c r="H60" s="275"/>
      <c r="I60" s="275"/>
      <c r="J60" s="275"/>
      <c r="K60" s="275"/>
      <c r="L60" s="275"/>
      <c r="M60" s="291">
        <f t="shared" si="0"/>
        <v>0</v>
      </c>
    </row>
    <row r="61" spans="1:13" ht="12.75">
      <c r="A61" s="153" t="s">
        <v>448</v>
      </c>
      <c r="B61" s="273"/>
      <c r="C61" s="274"/>
      <c r="D61" s="275"/>
      <c r="E61" s="275"/>
      <c r="F61" s="275"/>
      <c r="G61" s="275"/>
      <c r="H61" s="275"/>
      <c r="I61" s="275"/>
      <c r="J61" s="275"/>
      <c r="K61" s="275"/>
      <c r="L61" s="275"/>
      <c r="M61" s="291">
        <f t="shared" si="0"/>
        <v>0</v>
      </c>
    </row>
    <row r="62" spans="1:13" ht="12.75">
      <c r="A62" s="153" t="s">
        <v>406</v>
      </c>
      <c r="B62" s="273"/>
      <c r="C62" s="274"/>
      <c r="D62" s="275"/>
      <c r="E62" s="275"/>
      <c r="F62" s="275"/>
      <c r="G62" s="275"/>
      <c r="H62" s="275"/>
      <c r="I62" s="275"/>
      <c r="J62" s="275"/>
      <c r="K62" s="275"/>
      <c r="L62" s="275"/>
      <c r="M62" s="291">
        <f t="shared" si="0"/>
        <v>0</v>
      </c>
    </row>
    <row r="63" spans="1:13" ht="12.75">
      <c r="A63" s="174" t="s">
        <v>231</v>
      </c>
      <c r="B63" s="273"/>
      <c r="C63" s="274"/>
      <c r="D63" s="275"/>
      <c r="E63" s="275"/>
      <c r="F63" s="275"/>
      <c r="G63" s="275"/>
      <c r="H63" s="275"/>
      <c r="I63" s="275"/>
      <c r="J63" s="275"/>
      <c r="K63" s="275"/>
      <c r="L63" s="275"/>
      <c r="M63" s="291">
        <f t="shared" si="0"/>
        <v>0</v>
      </c>
    </row>
    <row r="64" spans="1:13" ht="12.75">
      <c r="A64" t="s">
        <v>450</v>
      </c>
      <c r="B64" s="273"/>
      <c r="C64" s="274"/>
      <c r="D64" s="275"/>
      <c r="E64" s="275"/>
      <c r="F64" s="275"/>
      <c r="G64" s="275"/>
      <c r="H64" s="275"/>
      <c r="I64" s="275"/>
      <c r="J64" s="275"/>
      <c r="K64" s="275"/>
      <c r="L64" s="275"/>
      <c r="M64" s="291">
        <f t="shared" si="0"/>
        <v>0</v>
      </c>
    </row>
    <row r="65" spans="1:13" ht="12.75">
      <c r="A65" t="s">
        <v>395</v>
      </c>
      <c r="B65" s="273"/>
      <c r="C65" s="274">
        <v>14000</v>
      </c>
      <c r="D65" s="275"/>
      <c r="E65" s="275"/>
      <c r="F65" s="275"/>
      <c r="G65" s="275"/>
      <c r="H65" s="275"/>
      <c r="I65" s="275"/>
      <c r="J65" s="275"/>
      <c r="K65" s="275"/>
      <c r="L65" s="275"/>
      <c r="M65" s="291">
        <f t="shared" si="0"/>
        <v>14000</v>
      </c>
    </row>
    <row r="66" spans="1:13" ht="12.75">
      <c r="A66" t="s">
        <v>398</v>
      </c>
      <c r="B66" s="273"/>
      <c r="C66" s="274"/>
      <c r="D66" s="275"/>
      <c r="E66" s="275"/>
      <c r="F66" s="275"/>
      <c r="G66" s="275"/>
      <c r="H66" s="275"/>
      <c r="I66" s="275"/>
      <c r="J66" s="275"/>
      <c r="K66" s="275"/>
      <c r="L66" s="275"/>
      <c r="M66" s="291">
        <f t="shared" si="0"/>
        <v>0</v>
      </c>
    </row>
    <row r="67" spans="1:15" ht="12.75">
      <c r="A67" t="s">
        <v>449</v>
      </c>
      <c r="B67" s="273"/>
      <c r="C67" s="274">
        <v>26000</v>
      </c>
      <c r="D67" s="275"/>
      <c r="E67" s="275"/>
      <c r="F67" s="275"/>
      <c r="G67" s="275"/>
      <c r="H67" s="275"/>
      <c r="I67" s="275"/>
      <c r="J67" s="275"/>
      <c r="K67" s="275"/>
      <c r="L67" s="275"/>
      <c r="M67" s="291">
        <f t="shared" si="0"/>
        <v>26000</v>
      </c>
      <c r="O67" s="389"/>
    </row>
    <row r="68" spans="1:13" ht="12.75">
      <c r="A68" s="174" t="s">
        <v>463</v>
      </c>
      <c r="B68" s="273"/>
      <c r="C68" s="274"/>
      <c r="D68" s="275"/>
      <c r="E68" s="275"/>
      <c r="F68" s="275"/>
      <c r="G68" s="275"/>
      <c r="H68" s="275"/>
      <c r="I68" s="275"/>
      <c r="J68" s="275"/>
      <c r="K68" s="275"/>
      <c r="L68" s="275"/>
      <c r="M68" s="291">
        <f t="shared" si="0"/>
        <v>0</v>
      </c>
    </row>
    <row r="69" spans="1:13" ht="12.75">
      <c r="A69" s="153" t="s">
        <v>410</v>
      </c>
      <c r="B69" s="273"/>
      <c r="C69" s="274"/>
      <c r="D69" s="275"/>
      <c r="E69" s="275"/>
      <c r="F69" s="275"/>
      <c r="G69" s="275"/>
      <c r="H69" s="275"/>
      <c r="I69" s="275"/>
      <c r="J69" s="275"/>
      <c r="K69" s="275"/>
      <c r="L69" s="275"/>
      <c r="M69" s="291">
        <f t="shared" si="0"/>
        <v>0</v>
      </c>
    </row>
    <row r="70" spans="1:13" ht="12.75">
      <c r="A70" t="s">
        <v>396</v>
      </c>
      <c r="B70" s="273"/>
      <c r="C70" s="274"/>
      <c r="D70" s="275"/>
      <c r="E70" s="275"/>
      <c r="F70" s="275"/>
      <c r="G70" s="275"/>
      <c r="H70" s="275"/>
      <c r="I70" s="275"/>
      <c r="J70" s="275"/>
      <c r="K70" s="275"/>
      <c r="L70" s="275"/>
      <c r="M70" s="291">
        <f t="shared" si="0"/>
        <v>0</v>
      </c>
    </row>
    <row r="71" spans="1:13" ht="12.75">
      <c r="A71" s="153" t="s">
        <v>464</v>
      </c>
      <c r="B71" s="273"/>
      <c r="C71" s="288"/>
      <c r="D71" s="275"/>
      <c r="E71" s="275"/>
      <c r="F71" s="275"/>
      <c r="G71" s="275"/>
      <c r="H71" s="275"/>
      <c r="I71" s="275"/>
      <c r="J71" s="275"/>
      <c r="K71" s="275"/>
      <c r="L71" s="275"/>
      <c r="M71" s="291">
        <f>SUM(C71:L71)</f>
        <v>0</v>
      </c>
    </row>
    <row r="72" spans="1:13" ht="12.75">
      <c r="A72" s="153"/>
      <c r="B72" s="273"/>
      <c r="C72" s="274"/>
      <c r="D72" s="275"/>
      <c r="E72" s="275"/>
      <c r="F72" s="275"/>
      <c r="G72" s="275"/>
      <c r="H72" s="275"/>
      <c r="I72" s="275"/>
      <c r="J72" s="275"/>
      <c r="K72" s="275"/>
      <c r="L72" s="275"/>
      <c r="M72" s="291"/>
    </row>
    <row r="73" spans="2:13" ht="12.75">
      <c r="B73" s="273"/>
      <c r="C73" s="274">
        <f>SUM(C5:C71)</f>
        <v>449900</v>
      </c>
      <c r="D73" s="274">
        <f aca="true" t="shared" si="1" ref="D73:M73">SUM(D5:D71)</f>
        <v>17900</v>
      </c>
      <c r="E73" s="274">
        <f t="shared" si="1"/>
        <v>25900</v>
      </c>
      <c r="F73" s="274">
        <f t="shared" si="1"/>
        <v>7100</v>
      </c>
      <c r="G73" s="274">
        <f t="shared" si="1"/>
        <v>102150</v>
      </c>
      <c r="H73" s="274">
        <f t="shared" si="1"/>
        <v>0</v>
      </c>
      <c r="I73" s="274">
        <f t="shared" si="1"/>
        <v>29200</v>
      </c>
      <c r="J73" s="274">
        <f t="shared" si="1"/>
        <v>41600</v>
      </c>
      <c r="K73" s="274">
        <f t="shared" si="1"/>
        <v>21650</v>
      </c>
      <c r="L73" s="274">
        <f t="shared" si="1"/>
        <v>0</v>
      </c>
      <c r="M73" s="274">
        <f t="shared" si="1"/>
        <v>695400</v>
      </c>
    </row>
    <row r="75" ht="12.75">
      <c r="M75" s="292"/>
    </row>
  </sheetData>
  <sheetProtection/>
  <printOptions/>
  <pageMargins left="0.7" right="0.7" top="0.75" bottom="0.75" header="0.3" footer="0.3"/>
  <pageSetup fitToHeight="0" fitToWidth="1" horizontalDpi="600" verticalDpi="6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8.28125" style="0" customWidth="1"/>
    <col min="3" max="3" width="11.140625" style="0" customWidth="1"/>
    <col min="6" max="6" width="2.421875" style="0" customWidth="1"/>
    <col min="7" max="7" width="8.8515625" style="0" bestFit="1" customWidth="1"/>
    <col min="9" max="9" width="8.8515625" style="0" bestFit="1" customWidth="1"/>
  </cols>
  <sheetData>
    <row r="1" spans="1:8" ht="12.75">
      <c r="A1" s="433" t="s">
        <v>402</v>
      </c>
      <c r="B1" s="433"/>
      <c r="C1" s="433"/>
      <c r="D1" s="433"/>
      <c r="E1" s="433"/>
      <c r="F1" s="433"/>
      <c r="G1" s="433"/>
      <c r="H1" s="433"/>
    </row>
    <row r="2" spans="1:8" ht="12.75">
      <c r="A2" s="433" t="s">
        <v>483</v>
      </c>
      <c r="B2" s="433"/>
      <c r="C2" s="433"/>
      <c r="D2" s="433"/>
      <c r="E2" s="433"/>
      <c r="F2" s="433"/>
      <c r="G2" s="433"/>
      <c r="H2" s="433"/>
    </row>
    <row r="4" spans="3:9" ht="12.75">
      <c r="C4" s="432" t="s">
        <v>484</v>
      </c>
      <c r="D4" s="432"/>
      <c r="E4" s="432"/>
      <c r="G4" s="432" t="s">
        <v>485</v>
      </c>
      <c r="H4" s="432"/>
      <c r="I4" s="432"/>
    </row>
    <row r="6" spans="1:11" ht="12.75">
      <c r="A6" t="s">
        <v>435</v>
      </c>
      <c r="B6" t="s">
        <v>442</v>
      </c>
      <c r="C6" s="314">
        <v>97628</v>
      </c>
      <c r="D6" s="314"/>
      <c r="E6" s="269">
        <v>97628</v>
      </c>
      <c r="I6" s="314">
        <f>SUM(G6:H6)</f>
        <v>0</v>
      </c>
      <c r="K6" s="269"/>
    </row>
    <row r="7" spans="1:9" ht="12.75">
      <c r="A7" t="s">
        <v>435</v>
      </c>
      <c r="B7" t="s">
        <v>434</v>
      </c>
      <c r="C7" s="314">
        <v>7973</v>
      </c>
      <c r="D7" s="314"/>
      <c r="E7" s="269">
        <v>7973</v>
      </c>
      <c r="G7" s="269"/>
      <c r="I7" s="314">
        <f aca="true" t="shared" si="0" ref="I7:I14">SUM(G7:H7)</f>
        <v>0</v>
      </c>
    </row>
    <row r="8" spans="1:9" ht="12.75">
      <c r="A8" t="s">
        <v>436</v>
      </c>
      <c r="B8" t="s">
        <v>442</v>
      </c>
      <c r="C8" s="314">
        <v>44377</v>
      </c>
      <c r="D8" s="314"/>
      <c r="E8" s="269">
        <v>44377</v>
      </c>
      <c r="I8" s="314">
        <f t="shared" si="0"/>
        <v>0</v>
      </c>
    </row>
    <row r="9" spans="1:9" ht="12.75">
      <c r="A9" t="s">
        <v>436</v>
      </c>
      <c r="B9" t="s">
        <v>440</v>
      </c>
      <c r="C9" s="314">
        <v>3624</v>
      </c>
      <c r="D9" s="314"/>
      <c r="E9" s="269">
        <v>3624</v>
      </c>
      <c r="G9" s="269"/>
      <c r="I9" s="314">
        <f t="shared" si="0"/>
        <v>0</v>
      </c>
    </row>
    <row r="10" spans="1:9" ht="12.75">
      <c r="A10" t="s">
        <v>437</v>
      </c>
      <c r="B10" t="s">
        <v>440</v>
      </c>
      <c r="C10" s="314">
        <v>16636.37</v>
      </c>
      <c r="D10" s="314"/>
      <c r="E10" s="269">
        <v>16636.37</v>
      </c>
      <c r="G10" s="269"/>
      <c r="I10" s="314">
        <f t="shared" si="0"/>
        <v>0</v>
      </c>
    </row>
    <row r="11" spans="1:9" ht="12.75">
      <c r="A11" s="153" t="s">
        <v>467</v>
      </c>
      <c r="B11" t="s">
        <v>440</v>
      </c>
      <c r="C11" s="314">
        <v>6461</v>
      </c>
      <c r="D11" s="314"/>
      <c r="E11" s="269">
        <v>6461</v>
      </c>
      <c r="G11" s="269"/>
      <c r="I11" s="314">
        <f t="shared" si="0"/>
        <v>0</v>
      </c>
    </row>
    <row r="12" spans="1:9" ht="12.75">
      <c r="A12" t="s">
        <v>438</v>
      </c>
      <c r="B12" t="s">
        <v>433</v>
      </c>
      <c r="C12" s="314">
        <v>0</v>
      </c>
      <c r="D12" s="314">
        <v>581</v>
      </c>
      <c r="E12" s="269">
        <v>581</v>
      </c>
      <c r="G12" s="269"/>
      <c r="H12" s="269"/>
      <c r="I12" s="314">
        <f t="shared" si="0"/>
        <v>0</v>
      </c>
    </row>
    <row r="13" spans="1:9" ht="12.75">
      <c r="A13" t="s">
        <v>438</v>
      </c>
      <c r="B13" t="s">
        <v>440</v>
      </c>
      <c r="C13" s="314">
        <v>1155</v>
      </c>
      <c r="D13" s="314"/>
      <c r="E13" s="269">
        <v>1155</v>
      </c>
      <c r="G13" s="269"/>
      <c r="H13" s="269"/>
      <c r="I13" s="314">
        <f t="shared" si="0"/>
        <v>0</v>
      </c>
    </row>
    <row r="14" spans="5:9" ht="12.75">
      <c r="E14" s="269">
        <f>SUM(C14:D14)</f>
        <v>0</v>
      </c>
      <c r="I14" s="314">
        <f t="shared" si="0"/>
        <v>0</v>
      </c>
    </row>
    <row r="15" spans="3:9" ht="12.75">
      <c r="C15" s="315">
        <f>SUM(C6:C14)</f>
        <v>177854.37</v>
      </c>
      <c r="D15" s="315">
        <f>SUM(D6:D14)</f>
        <v>581</v>
      </c>
      <c r="E15" s="315">
        <f>SUM(E6:E14)</f>
        <v>178435.37</v>
      </c>
      <c r="F15" s="315"/>
      <c r="G15" s="315">
        <f>SUM(G6:G14)</f>
        <v>0</v>
      </c>
      <c r="H15" s="315">
        <f>SUM(H6:H14)</f>
        <v>0</v>
      </c>
      <c r="I15" s="315">
        <f>SUM(I6:I14)</f>
        <v>0</v>
      </c>
    </row>
    <row r="17" spans="1:9" ht="12.75">
      <c r="A17" t="s">
        <v>443</v>
      </c>
      <c r="C17" s="314">
        <f>C15/12</f>
        <v>14821.1975</v>
      </c>
      <c r="D17" s="314">
        <f>D15/12</f>
        <v>48.416666666666664</v>
      </c>
      <c r="E17" s="314"/>
      <c r="G17" s="314">
        <f>G15/12</f>
        <v>0</v>
      </c>
      <c r="H17" s="314">
        <f>H15/12</f>
        <v>0</v>
      </c>
      <c r="I17" s="314">
        <f aca="true" t="shared" si="1" ref="I17:I24">SUM(G17:H17)</f>
        <v>0</v>
      </c>
    </row>
    <row r="18" ht="12.75">
      <c r="I18" s="314"/>
    </row>
    <row r="19" spans="1:9" ht="12.75">
      <c r="A19" t="s">
        <v>439</v>
      </c>
      <c r="B19" t="s">
        <v>433</v>
      </c>
      <c r="C19" s="314">
        <v>1103</v>
      </c>
      <c r="D19" s="314"/>
      <c r="E19" s="269">
        <f>SUM(C19:D19)</f>
        <v>1103</v>
      </c>
      <c r="G19" s="269">
        <f>C19</f>
        <v>1103</v>
      </c>
      <c r="H19" s="269">
        <f>D19</f>
        <v>0</v>
      </c>
      <c r="I19" s="314">
        <f t="shared" si="1"/>
        <v>1103</v>
      </c>
    </row>
    <row r="20" spans="1:9" ht="12.75">
      <c r="A20" t="s">
        <v>439</v>
      </c>
      <c r="B20" t="s">
        <v>440</v>
      </c>
      <c r="C20" s="314"/>
      <c r="D20" s="314">
        <v>1103</v>
      </c>
      <c r="E20" s="269">
        <f>SUM(C20:D20)</f>
        <v>1103</v>
      </c>
      <c r="G20" s="269">
        <f>C20</f>
        <v>0</v>
      </c>
      <c r="H20" s="269">
        <f>D20</f>
        <v>1103</v>
      </c>
      <c r="I20" s="314">
        <f t="shared" si="1"/>
        <v>1103</v>
      </c>
    </row>
    <row r="21" spans="1:9" ht="12.75">
      <c r="A21" t="s">
        <v>444</v>
      </c>
      <c r="C21" s="314">
        <f>C19/12</f>
        <v>91.91666666666667</v>
      </c>
      <c r="D21" s="314">
        <f>D20/12</f>
        <v>91.91666666666667</v>
      </c>
      <c r="E21" s="269"/>
      <c r="G21" s="314">
        <f>G19/12</f>
        <v>91.91666666666667</v>
      </c>
      <c r="H21" s="314">
        <f>H20/12</f>
        <v>91.91666666666667</v>
      </c>
      <c r="I21" s="314"/>
    </row>
    <row r="22" spans="3:9" ht="12.75">
      <c r="C22" s="314"/>
      <c r="D22" s="314"/>
      <c r="E22" s="269"/>
      <c r="G22" s="269"/>
      <c r="H22" s="269"/>
      <c r="I22" s="314"/>
    </row>
    <row r="23" spans="1:9" ht="12.75">
      <c r="A23" t="s">
        <v>441</v>
      </c>
      <c r="B23" t="s">
        <v>433</v>
      </c>
      <c r="C23" s="314"/>
      <c r="D23" s="314">
        <v>250</v>
      </c>
      <c r="E23" s="269">
        <f>SUM(C23:D23)</f>
        <v>250</v>
      </c>
      <c r="G23" s="269">
        <f>C23</f>
        <v>0</v>
      </c>
      <c r="H23" s="269">
        <f>D23</f>
        <v>250</v>
      </c>
      <c r="I23" s="314">
        <f t="shared" si="1"/>
        <v>250</v>
      </c>
    </row>
    <row r="24" spans="1:9" ht="12.75">
      <c r="A24" t="s">
        <v>441</v>
      </c>
      <c r="B24" t="s">
        <v>440</v>
      </c>
      <c r="C24" s="314">
        <v>5626</v>
      </c>
      <c r="D24" s="314"/>
      <c r="E24" s="269">
        <f>SUM(C24:D24)</f>
        <v>5626</v>
      </c>
      <c r="G24" s="269">
        <f>C24</f>
        <v>5626</v>
      </c>
      <c r="I24" s="314">
        <f t="shared" si="1"/>
        <v>5626</v>
      </c>
    </row>
  </sheetData>
  <sheetProtection/>
  <mergeCells count="4">
    <mergeCell ref="C4:E4"/>
    <mergeCell ref="A1:H1"/>
    <mergeCell ref="A2:H2"/>
    <mergeCell ref="G4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4.28125" style="0" customWidth="1"/>
    <col min="3" max="4" width="11.7109375" style="0" customWidth="1"/>
  </cols>
  <sheetData>
    <row r="1" ht="17.25">
      <c r="A1" s="5" t="s">
        <v>248</v>
      </c>
    </row>
    <row r="2" ht="17.25">
      <c r="A2" s="5" t="s">
        <v>422</v>
      </c>
    </row>
    <row r="4" spans="2:4" ht="12.75">
      <c r="B4" s="256" t="s">
        <v>411</v>
      </c>
      <c r="C4" s="153" t="s">
        <v>423</v>
      </c>
      <c r="D4" s="153" t="s">
        <v>424</v>
      </c>
    </row>
    <row r="5" spans="1:4" ht="12.75">
      <c r="A5" s="153" t="s">
        <v>119</v>
      </c>
      <c r="B5" s="154" t="e">
        <f>'2024 budget comp'!#REF!</f>
        <v>#REF!</v>
      </c>
      <c r="C5" s="154" t="e">
        <f>'2024 budget comp'!#REF!</f>
        <v>#REF!</v>
      </c>
      <c r="D5" s="154" t="e">
        <f>'2024 budget comp'!#REF!</f>
        <v>#REF!</v>
      </c>
    </row>
    <row r="6" spans="1:4" ht="12.75">
      <c r="A6" s="153" t="s">
        <v>245</v>
      </c>
      <c r="B6" s="155">
        <f>'2024 budget comp'!O37</f>
        <v>304184</v>
      </c>
      <c r="C6" s="155">
        <f>'2024 budget comp'!P37</f>
        <v>255698</v>
      </c>
      <c r="D6" s="155">
        <f>'2024 budget comp'!Q37</f>
        <v>287339.30000000005</v>
      </c>
    </row>
    <row r="7" spans="1:4" ht="12.75">
      <c r="A7" s="153" t="s">
        <v>246</v>
      </c>
      <c r="B7" s="154">
        <f>'2024 budget comp'!O52</f>
        <v>467220</v>
      </c>
      <c r="C7" s="154">
        <f>'2024 budget comp'!P52</f>
        <v>456273</v>
      </c>
      <c r="D7" s="154">
        <f>'2024 budget comp'!Q52</f>
        <v>485008</v>
      </c>
    </row>
    <row r="8" spans="1:4" ht="12.75">
      <c r="A8" s="153" t="s">
        <v>71</v>
      </c>
      <c r="B8" s="154">
        <f>'2024 budget comp'!O60</f>
        <v>517382.5</v>
      </c>
      <c r="C8" s="154">
        <f>'2024 budget comp'!P60</f>
        <v>586012</v>
      </c>
      <c r="D8" s="154">
        <f>'2024 budget comp'!Q60</f>
        <v>614103</v>
      </c>
    </row>
    <row r="9" spans="1:4" ht="12.75">
      <c r="A9" s="153" t="s">
        <v>247</v>
      </c>
      <c r="B9" s="154">
        <f>'2024 budget comp'!O93</f>
        <v>303900</v>
      </c>
      <c r="C9" s="154">
        <f>'2024 budget comp'!P93</f>
        <v>167365</v>
      </c>
      <c r="D9" s="154">
        <f>'2024 budget comp'!Q93</f>
        <v>697660</v>
      </c>
    </row>
    <row r="11" spans="2:4" ht="12.75">
      <c r="B11" s="154" t="e">
        <f>SUM(B5:B10)</f>
        <v>#REF!</v>
      </c>
      <c r="C11" s="154" t="e">
        <f>SUM(C5:C10)</f>
        <v>#REF!</v>
      </c>
      <c r="D11" s="154" t="e">
        <f>SUM(D5:D10)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26.00390625" style="0" bestFit="1" customWidth="1"/>
  </cols>
  <sheetData>
    <row r="1" spans="1:2" ht="12.75">
      <c r="A1" t="s">
        <v>1</v>
      </c>
      <c r="B1" t="s">
        <v>304</v>
      </c>
    </row>
    <row r="2" spans="1:2" ht="12.75">
      <c r="A2" t="s">
        <v>305</v>
      </c>
      <c r="B2" t="s">
        <v>306</v>
      </c>
    </row>
    <row r="3" spans="1:2" ht="12.75">
      <c r="A3" t="s">
        <v>93</v>
      </c>
      <c r="B3" t="s">
        <v>307</v>
      </c>
    </row>
    <row r="4" spans="1:2" ht="12.75">
      <c r="A4" t="s">
        <v>308</v>
      </c>
      <c r="B4" t="s">
        <v>238</v>
      </c>
    </row>
    <row r="5" spans="1:2" ht="12.75">
      <c r="A5" t="s">
        <v>309</v>
      </c>
      <c r="B5" t="s">
        <v>310</v>
      </c>
    </row>
    <row r="6" spans="1:2" ht="12.75">
      <c r="A6" t="s">
        <v>311</v>
      </c>
      <c r="B6" t="s">
        <v>312</v>
      </c>
    </row>
    <row r="7" spans="1:2" ht="12.75">
      <c r="A7" t="s">
        <v>313</v>
      </c>
      <c r="B7" t="s">
        <v>314</v>
      </c>
    </row>
    <row r="8" spans="1:2" ht="12.75">
      <c r="A8" t="s">
        <v>256</v>
      </c>
      <c r="B8" t="s">
        <v>315</v>
      </c>
    </row>
    <row r="9" spans="1:2" ht="12.75">
      <c r="A9" t="s">
        <v>94</v>
      </c>
      <c r="B9" t="s">
        <v>316</v>
      </c>
    </row>
    <row r="10" spans="1:2" ht="12.75">
      <c r="A10" t="s">
        <v>302</v>
      </c>
      <c r="B10" t="s">
        <v>317</v>
      </c>
    </row>
    <row r="11" spans="1:2" ht="12.75">
      <c r="A11" t="s">
        <v>95</v>
      </c>
      <c r="B11" t="s">
        <v>318</v>
      </c>
    </row>
    <row r="12" spans="1:2" ht="12.75">
      <c r="A12" t="s">
        <v>96</v>
      </c>
      <c r="B12" t="s">
        <v>319</v>
      </c>
    </row>
    <row r="13" spans="1:2" ht="12.75">
      <c r="A13" t="s">
        <v>97</v>
      </c>
      <c r="B13" t="s">
        <v>152</v>
      </c>
    </row>
    <row r="14" spans="1:2" ht="12.75">
      <c r="A14" t="s">
        <v>258</v>
      </c>
      <c r="B14" t="s">
        <v>320</v>
      </c>
    </row>
    <row r="15" spans="1:2" ht="12.75">
      <c r="A15" t="s">
        <v>98</v>
      </c>
      <c r="B15" t="s">
        <v>289</v>
      </c>
    </row>
    <row r="16" spans="1:2" ht="12.75">
      <c r="A16" t="s">
        <v>257</v>
      </c>
      <c r="B16" t="s">
        <v>290</v>
      </c>
    </row>
    <row r="17" spans="1:2" ht="12.75">
      <c r="A17" t="s">
        <v>259</v>
      </c>
      <c r="B17" t="s">
        <v>321</v>
      </c>
    </row>
    <row r="18" spans="1:2" ht="12.75">
      <c r="A18" t="s">
        <v>299</v>
      </c>
      <c r="B18" t="s">
        <v>286</v>
      </c>
    </row>
    <row r="19" spans="1:2" ht="12.75">
      <c r="A19" t="s">
        <v>99</v>
      </c>
      <c r="B19" t="s">
        <v>153</v>
      </c>
    </row>
    <row r="20" spans="1:2" ht="12.75">
      <c r="A20" t="s">
        <v>264</v>
      </c>
      <c r="B20" t="s">
        <v>250</v>
      </c>
    </row>
    <row r="21" spans="1:2" ht="12.75">
      <c r="A21" t="s">
        <v>100</v>
      </c>
      <c r="B21" t="s">
        <v>322</v>
      </c>
    </row>
    <row r="22" spans="1:2" ht="12.75">
      <c r="A22" t="s">
        <v>323</v>
      </c>
      <c r="B22" t="s">
        <v>324</v>
      </c>
    </row>
    <row r="23" spans="1:2" ht="12.75">
      <c r="A23" t="s">
        <v>325</v>
      </c>
      <c r="B23" t="s">
        <v>326</v>
      </c>
    </row>
    <row r="24" spans="1:2" ht="12.75">
      <c r="A24" t="s">
        <v>101</v>
      </c>
      <c r="B24" t="s">
        <v>327</v>
      </c>
    </row>
    <row r="25" spans="1:2" ht="12.75">
      <c r="A25" t="s">
        <v>260</v>
      </c>
      <c r="B25" t="s">
        <v>328</v>
      </c>
    </row>
    <row r="26" spans="1:2" ht="12.75">
      <c r="A26" t="s">
        <v>261</v>
      </c>
      <c r="B26" t="s">
        <v>273</v>
      </c>
    </row>
    <row r="27" spans="1:2" ht="12.75">
      <c r="A27" t="s">
        <v>354</v>
      </c>
      <c r="B27" t="s">
        <v>287</v>
      </c>
    </row>
    <row r="28" spans="1:2" ht="12.75">
      <c r="A28" t="s">
        <v>408</v>
      </c>
      <c r="B28" t="s">
        <v>410</v>
      </c>
    </row>
    <row r="29" spans="1:2" ht="12.75">
      <c r="A29" t="s">
        <v>329</v>
      </c>
      <c r="B29" t="s">
        <v>330</v>
      </c>
    </row>
    <row r="30" spans="1:2" ht="12.75">
      <c r="A30" t="s">
        <v>303</v>
      </c>
      <c r="B30" t="s">
        <v>331</v>
      </c>
    </row>
    <row r="31" spans="1:2" ht="12.75">
      <c r="A31" t="s">
        <v>263</v>
      </c>
      <c r="B31" t="s">
        <v>231</v>
      </c>
    </row>
    <row r="32" spans="1:2" ht="12.75">
      <c r="A32" t="s">
        <v>332</v>
      </c>
      <c r="B32" t="s">
        <v>333</v>
      </c>
    </row>
    <row r="33" spans="1:2" ht="12.75">
      <c r="A33" t="s">
        <v>334</v>
      </c>
      <c r="B33" t="s">
        <v>335</v>
      </c>
    </row>
    <row r="34" spans="1:2" ht="12.75">
      <c r="A34" t="s">
        <v>336</v>
      </c>
      <c r="B34" t="s">
        <v>337</v>
      </c>
    </row>
    <row r="35" spans="1:2" ht="12.75">
      <c r="A35" t="s">
        <v>338</v>
      </c>
      <c r="B35" t="s">
        <v>339</v>
      </c>
    </row>
    <row r="36" spans="1:2" ht="12.75">
      <c r="A36" t="s">
        <v>296</v>
      </c>
      <c r="B36" t="s">
        <v>340</v>
      </c>
    </row>
    <row r="37" spans="1:2" ht="12.75">
      <c r="A37" t="s">
        <v>102</v>
      </c>
      <c r="B37" t="s">
        <v>341</v>
      </c>
    </row>
    <row r="38" spans="1:2" ht="12.75">
      <c r="A38" t="s">
        <v>409</v>
      </c>
      <c r="B38" t="s">
        <v>397</v>
      </c>
    </row>
    <row r="39" spans="1:2" ht="12.75">
      <c r="A39" t="s">
        <v>262</v>
      </c>
      <c r="B39" t="s">
        <v>229</v>
      </c>
    </row>
    <row r="40" spans="1:2" ht="12.75">
      <c r="A40" t="s">
        <v>253</v>
      </c>
      <c r="B40" t="s">
        <v>151</v>
      </c>
    </row>
    <row r="41" spans="1:2" ht="12.75">
      <c r="A41" t="s">
        <v>254</v>
      </c>
      <c r="B41" t="s">
        <v>269</v>
      </c>
    </row>
    <row r="42" spans="1:2" ht="12.75">
      <c r="A42" t="s">
        <v>237</v>
      </c>
      <c r="B42" t="s">
        <v>228</v>
      </c>
    </row>
    <row r="43" spans="1:2" ht="12.75">
      <c r="A43" t="s">
        <v>235</v>
      </c>
      <c r="B43" t="s">
        <v>342</v>
      </c>
    </row>
    <row r="44" spans="1:2" ht="12.75">
      <c r="A44" t="s">
        <v>236</v>
      </c>
      <c r="B44" t="s">
        <v>343</v>
      </c>
    </row>
    <row r="45" spans="1:2" ht="12.75">
      <c r="A45" t="s">
        <v>344</v>
      </c>
      <c r="B45" t="s">
        <v>345</v>
      </c>
    </row>
    <row r="46" spans="1:2" ht="12.75">
      <c r="A46" t="s">
        <v>255</v>
      </c>
      <c r="B46" t="s">
        <v>244</v>
      </c>
    </row>
    <row r="47" spans="1:2" ht="12.75">
      <c r="A47" t="s">
        <v>346</v>
      </c>
      <c r="B47" t="s">
        <v>347</v>
      </c>
    </row>
    <row r="48" spans="1:2" ht="12.75">
      <c r="A48" t="s">
        <v>300</v>
      </c>
      <c r="B48" t="s">
        <v>271</v>
      </c>
    </row>
    <row r="49" spans="1:2" ht="12.75">
      <c r="A49" t="s">
        <v>297</v>
      </c>
      <c r="B49" t="s">
        <v>348</v>
      </c>
    </row>
    <row r="50" spans="1:2" ht="12.75">
      <c r="A50" t="s">
        <v>349</v>
      </c>
      <c r="B50" t="s">
        <v>350</v>
      </c>
    </row>
    <row r="51" spans="1:2" ht="12.75">
      <c r="A51" t="s">
        <v>351</v>
      </c>
      <c r="B51" t="s">
        <v>272</v>
      </c>
    </row>
    <row r="52" spans="1:2" ht="12.75">
      <c r="A52" t="s">
        <v>298</v>
      </c>
      <c r="B52" t="s">
        <v>274</v>
      </c>
    </row>
    <row r="53" spans="1:2" ht="12.75">
      <c r="A53" t="s">
        <v>301</v>
      </c>
      <c r="B53" t="s">
        <v>352</v>
      </c>
    </row>
    <row r="54" spans="1:2" ht="12.75">
      <c r="A54" t="s">
        <v>353</v>
      </c>
      <c r="B54" t="s"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7"/>
  <sheetViews>
    <sheetView showGridLines="0" tabSelected="1" zoomScalePageLayoutView="0" workbookViewId="0" topLeftCell="A1">
      <pane xSplit="2" ySplit="5" topLeftCell="C1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10.28125" defaultRowHeight="12.75"/>
  <cols>
    <col min="1" max="1" width="3.57421875" style="10" customWidth="1"/>
    <col min="2" max="2" width="29.00390625" style="10" bestFit="1" customWidth="1"/>
    <col min="3" max="5" width="15.28125" style="94" customWidth="1"/>
    <col min="6" max="6" width="15.28125" style="11" hidden="1" customWidth="1"/>
    <col min="7" max="7" width="15.28125" style="94" customWidth="1"/>
    <col min="8" max="8" width="13.7109375" style="94" customWidth="1"/>
    <col min="9" max="9" width="11.140625" style="94" customWidth="1"/>
    <col min="10" max="10" width="9.28125" style="11" hidden="1" customWidth="1"/>
    <col min="11" max="12" width="10.57421875" style="94" customWidth="1"/>
    <col min="13" max="13" width="9.7109375" style="94" customWidth="1"/>
    <col min="14" max="14" width="8.57421875" style="11" hidden="1" customWidth="1"/>
    <col min="15" max="15" width="11.28125" style="172" customWidth="1"/>
    <col min="16" max="16" width="11.57421875" style="218" customWidth="1"/>
    <col min="17" max="17" width="10.7109375" style="255" customWidth="1"/>
    <col min="18" max="23" width="9.7109375" style="94" customWidth="1"/>
    <col min="24" max="24" width="7.57421875" style="94" customWidth="1"/>
    <col min="25" max="25" width="36.28125" style="10" customWidth="1"/>
    <col min="26" max="16384" width="10.28125" style="10" customWidth="1"/>
  </cols>
  <sheetData>
    <row r="1" spans="1:39" s="6" customFormat="1" ht="17.25">
      <c r="A1" s="5" t="s">
        <v>240</v>
      </c>
      <c r="B1" s="398"/>
      <c r="C1" s="7"/>
      <c r="D1" s="7"/>
      <c r="E1" s="8"/>
      <c r="F1" s="9"/>
      <c r="G1" s="7"/>
      <c r="H1" s="10"/>
      <c r="I1" s="10"/>
      <c r="J1" s="11"/>
      <c r="K1" s="10"/>
      <c r="L1" s="10"/>
      <c r="M1" s="10"/>
      <c r="N1" s="11"/>
      <c r="O1" s="157"/>
      <c r="P1" s="202"/>
      <c r="Q1" s="234"/>
      <c r="R1" s="10"/>
      <c r="S1" s="10"/>
      <c r="T1" s="10"/>
      <c r="U1" s="10"/>
      <c r="V1" s="10"/>
      <c r="W1" s="10"/>
      <c r="X1" s="10"/>
      <c r="AM1" s="12" t="s">
        <v>109</v>
      </c>
    </row>
    <row r="2" spans="1:39" s="6" customFormat="1" ht="17.25">
      <c r="A2" s="5" t="s">
        <v>525</v>
      </c>
      <c r="B2" s="398"/>
      <c r="C2" s="7"/>
      <c r="D2" s="7"/>
      <c r="E2" s="7"/>
      <c r="F2" s="9"/>
      <c r="G2" s="7"/>
      <c r="H2" s="10"/>
      <c r="I2" s="10"/>
      <c r="J2" s="11"/>
      <c r="K2" s="10"/>
      <c r="L2" s="10"/>
      <c r="M2" s="10"/>
      <c r="N2" s="11"/>
      <c r="O2" s="157"/>
      <c r="P2" s="202"/>
      <c r="Q2" s="234"/>
      <c r="R2" s="10"/>
      <c r="S2" s="10"/>
      <c r="T2" s="10"/>
      <c r="U2" s="10"/>
      <c r="V2" s="10"/>
      <c r="W2" s="10"/>
      <c r="X2" s="10"/>
      <c r="Y2" s="10"/>
      <c r="AM2" s="12"/>
    </row>
    <row r="3" spans="1:25" s="6" customFormat="1" ht="12.75">
      <c r="A3" s="13"/>
      <c r="C3" s="7"/>
      <c r="D3" s="7"/>
      <c r="E3" s="7"/>
      <c r="F3" s="9"/>
      <c r="G3" s="7"/>
      <c r="H3" s="10"/>
      <c r="I3" s="10"/>
      <c r="J3" s="11"/>
      <c r="K3" s="10"/>
      <c r="L3" s="10"/>
      <c r="M3" s="10"/>
      <c r="N3" s="11"/>
      <c r="O3" s="157"/>
      <c r="P3" s="202"/>
      <c r="Q3" s="234"/>
      <c r="R3" s="10"/>
      <c r="S3" s="10"/>
      <c r="T3" s="10"/>
      <c r="U3" s="10"/>
      <c r="V3" s="10"/>
      <c r="W3" s="10"/>
      <c r="X3" s="10"/>
      <c r="Y3" s="10"/>
    </row>
    <row r="4" spans="1:25" s="6" customFormat="1" ht="12.75">
      <c r="A4" s="14"/>
      <c r="B4" s="15"/>
      <c r="C4" s="16">
        <f>Q4</f>
        <v>2024</v>
      </c>
      <c r="D4" s="17">
        <f>$P4</f>
        <v>2023</v>
      </c>
      <c r="E4" s="18"/>
      <c r="F4" s="19"/>
      <c r="G4" s="16">
        <f>C4</f>
        <v>2024</v>
      </c>
      <c r="H4" s="17">
        <f>$O4</f>
        <v>2023</v>
      </c>
      <c r="I4" s="18"/>
      <c r="J4" s="399"/>
      <c r="K4" s="407">
        <f>$P4</f>
        <v>2023</v>
      </c>
      <c r="L4" s="17">
        <f>$O4</f>
        <v>2023</v>
      </c>
      <c r="M4" s="18"/>
      <c r="N4" s="19"/>
      <c r="O4" s="158">
        <v>2023</v>
      </c>
      <c r="P4" s="203">
        <f>O4</f>
        <v>2023</v>
      </c>
      <c r="Q4" s="235">
        <v>2024</v>
      </c>
      <c r="R4" s="20" t="s">
        <v>110</v>
      </c>
      <c r="S4" s="17">
        <v>2005</v>
      </c>
      <c r="T4" s="17">
        <v>2006</v>
      </c>
      <c r="U4" s="17">
        <v>2007</v>
      </c>
      <c r="V4" s="17">
        <v>2008</v>
      </c>
      <c r="W4" s="17">
        <v>2009</v>
      </c>
      <c r="X4" s="20"/>
      <c r="Y4" s="21"/>
    </row>
    <row r="5" spans="1:25" s="6" customFormat="1" ht="12.75">
      <c r="A5" s="14"/>
      <c r="B5" s="15"/>
      <c r="C5" s="16" t="s">
        <v>0</v>
      </c>
      <c r="D5" s="17" t="str">
        <f>P5</f>
        <v>Est Actuals</v>
      </c>
      <c r="E5" s="17" t="s">
        <v>10</v>
      </c>
      <c r="F5" s="22" t="s">
        <v>111</v>
      </c>
      <c r="G5" s="16" t="str">
        <f>C5</f>
        <v>Budget</v>
      </c>
      <c r="H5" s="17" t="s">
        <v>0</v>
      </c>
      <c r="I5" s="17" t="s">
        <v>10</v>
      </c>
      <c r="J5" s="400" t="s">
        <v>111</v>
      </c>
      <c r="K5" s="407" t="str">
        <f>P5</f>
        <v>Est Actuals</v>
      </c>
      <c r="L5" s="17" t="s">
        <v>0</v>
      </c>
      <c r="M5" s="17" t="s">
        <v>10</v>
      </c>
      <c r="N5" s="22" t="s">
        <v>111</v>
      </c>
      <c r="O5" s="159" t="s">
        <v>0</v>
      </c>
      <c r="P5" s="203" t="s">
        <v>226</v>
      </c>
      <c r="Q5" s="236" t="str">
        <f>C5</f>
        <v>Budget</v>
      </c>
      <c r="R5" s="17" t="s">
        <v>112</v>
      </c>
      <c r="S5" s="17" t="s">
        <v>112</v>
      </c>
      <c r="T5" s="17" t="s">
        <v>112</v>
      </c>
      <c r="U5" s="17" t="s">
        <v>112</v>
      </c>
      <c r="V5" s="17" t="s">
        <v>112</v>
      </c>
      <c r="W5" s="17" t="s">
        <v>112</v>
      </c>
      <c r="X5" s="17"/>
      <c r="Y5" s="23" t="s">
        <v>113</v>
      </c>
    </row>
    <row r="6" spans="1:25" s="6" customFormat="1" ht="12.75">
      <c r="A6" s="12"/>
      <c r="C6" s="24"/>
      <c r="D6" s="25"/>
      <c r="E6" s="25"/>
      <c r="F6" s="26"/>
      <c r="G6" s="24"/>
      <c r="H6" s="25"/>
      <c r="I6" s="25"/>
      <c r="J6" s="401"/>
      <c r="K6" s="408"/>
      <c r="L6" s="25"/>
      <c r="M6" s="25"/>
      <c r="N6" s="26"/>
      <c r="O6" s="159"/>
      <c r="P6" s="203"/>
      <c r="Q6" s="236"/>
      <c r="R6" s="17"/>
      <c r="S6" s="17"/>
      <c r="T6" s="17"/>
      <c r="U6" s="17"/>
      <c r="V6" s="17"/>
      <c r="W6" s="17"/>
      <c r="X6" s="17"/>
      <c r="Y6" s="287"/>
    </row>
    <row r="7" spans="1:25" s="6" customFormat="1" ht="24" customHeight="1">
      <c r="A7" s="27" t="s">
        <v>510</v>
      </c>
      <c r="B7" s="28"/>
      <c r="C7" s="29">
        <f>$Q7</f>
        <v>8500</v>
      </c>
      <c r="D7" s="30">
        <f>$P7</f>
        <v>0</v>
      </c>
      <c r="E7" s="30">
        <f>C7-D7</f>
        <v>8500</v>
      </c>
      <c r="F7" s="31">
        <f>IF(D7&lt;&gt;0,E7/D7,0)</f>
        <v>0</v>
      </c>
      <c r="G7" s="29">
        <f>$Q7</f>
        <v>8500</v>
      </c>
      <c r="H7" s="30"/>
      <c r="I7" s="30">
        <f>H7-G7</f>
        <v>-8500</v>
      </c>
      <c r="J7" s="31">
        <f>IF(H7&lt;&gt;0,I7/H7,0)</f>
        <v>0</v>
      </c>
      <c r="K7" s="409">
        <f>$P7</f>
        <v>0</v>
      </c>
      <c r="L7" s="30"/>
      <c r="M7" s="30">
        <f>K7-L7</f>
        <v>0</v>
      </c>
      <c r="N7" s="32">
        <f>IF(L7&lt;&gt;0,M7/L7,0)</f>
        <v>0</v>
      </c>
      <c r="O7" s="160">
        <v>20000</v>
      </c>
      <c r="P7" s="204"/>
      <c r="Q7" s="237">
        <v>8500</v>
      </c>
      <c r="R7" s="33">
        <v>-8032</v>
      </c>
      <c r="S7" s="33"/>
      <c r="T7" s="33"/>
      <c r="U7" s="33"/>
      <c r="V7" s="33"/>
      <c r="W7" s="33"/>
      <c r="X7" s="34"/>
      <c r="Y7" s="35"/>
    </row>
    <row r="8" spans="1:25" s="6" customFormat="1" ht="15" customHeight="1">
      <c r="A8" s="27"/>
      <c r="B8" s="28"/>
      <c r="C8" s="36"/>
      <c r="D8" s="34"/>
      <c r="E8" s="34"/>
      <c r="F8" s="37"/>
      <c r="G8" s="36"/>
      <c r="H8" s="34"/>
      <c r="I8" s="34"/>
      <c r="J8" s="402"/>
      <c r="K8" s="410"/>
      <c r="L8" s="34"/>
      <c r="M8" s="34"/>
      <c r="N8" s="37"/>
      <c r="O8" s="159"/>
      <c r="P8" s="203"/>
      <c r="Q8" s="236"/>
      <c r="R8" s="34"/>
      <c r="S8" s="34"/>
      <c r="T8" s="34"/>
      <c r="U8" s="34"/>
      <c r="V8" s="34"/>
      <c r="W8" s="34"/>
      <c r="X8" s="34"/>
      <c r="Y8" s="35"/>
    </row>
    <row r="9" spans="1:25" s="6" customFormat="1" ht="15" hidden="1">
      <c r="A9" s="27" t="s">
        <v>114</v>
      </c>
      <c r="B9" s="28"/>
      <c r="C9" s="36"/>
      <c r="D9" s="34"/>
      <c r="E9" s="34"/>
      <c r="F9" s="37"/>
      <c r="G9" s="36"/>
      <c r="H9" s="34"/>
      <c r="I9" s="34"/>
      <c r="J9" s="402"/>
      <c r="K9" s="410"/>
      <c r="L9" s="34"/>
      <c r="M9" s="34"/>
      <c r="N9" s="37"/>
      <c r="O9" s="159"/>
      <c r="P9" s="203"/>
      <c r="Q9" s="236"/>
      <c r="R9" s="34"/>
      <c r="S9" s="34"/>
      <c r="T9" s="34"/>
      <c r="U9" s="34"/>
      <c r="V9" s="34"/>
      <c r="W9" s="34"/>
      <c r="X9" s="34"/>
      <c r="Y9" s="35"/>
    </row>
    <row r="10" spans="1:25" s="6" customFormat="1" ht="3.75" customHeight="1">
      <c r="A10" s="38"/>
      <c r="B10" s="28"/>
      <c r="C10" s="36"/>
      <c r="D10" s="34"/>
      <c r="E10" s="34"/>
      <c r="F10" s="37"/>
      <c r="G10" s="36"/>
      <c r="H10" s="34"/>
      <c r="I10" s="34"/>
      <c r="J10" s="402"/>
      <c r="K10" s="410"/>
      <c r="L10" s="34"/>
      <c r="M10" s="34"/>
      <c r="N10" s="37"/>
      <c r="O10" s="159"/>
      <c r="P10" s="203"/>
      <c r="Q10" s="236"/>
      <c r="R10" s="34"/>
      <c r="S10" s="34"/>
      <c r="T10" s="34"/>
      <c r="U10" s="34"/>
      <c r="V10" s="34"/>
      <c r="W10" s="34"/>
      <c r="X10" s="34"/>
      <c r="Y10" s="35"/>
    </row>
    <row r="11" spans="1:25" s="6" customFormat="1" ht="13.5" customHeight="1">
      <c r="A11" s="39"/>
      <c r="B11" s="40" t="s">
        <v>12</v>
      </c>
      <c r="C11" s="41">
        <f>$Q11</f>
        <v>1372798.3</v>
      </c>
      <c r="D11" s="42">
        <f>$P11</f>
        <v>1288787</v>
      </c>
      <c r="E11" s="42">
        <f>C11-D11</f>
        <v>84011.30000000005</v>
      </c>
      <c r="F11" s="11">
        <f>IF(D11&lt;&gt;0,E11/D11,0)</f>
        <v>0.06518633412658573</v>
      </c>
      <c r="G11" s="41">
        <f>$Q11</f>
        <v>1372798.3</v>
      </c>
      <c r="H11" s="42">
        <f>$O11</f>
        <v>1288794.5</v>
      </c>
      <c r="I11" s="42">
        <f>G11-H11</f>
        <v>84003.80000000005</v>
      </c>
      <c r="J11" s="403">
        <f>IF(H11&lt;&gt;0,I11/H11,0)</f>
        <v>0.06518013539008743</v>
      </c>
      <c r="K11" s="411">
        <f>$P11</f>
        <v>1288787</v>
      </c>
      <c r="L11" s="42">
        <f>$O11</f>
        <v>1288794.5</v>
      </c>
      <c r="M11" s="42">
        <f>K11-L11</f>
        <v>-7.5</v>
      </c>
      <c r="N11" s="11">
        <f>IF(L11&lt;&gt;0,M11/L11,0)</f>
        <v>-5.819391687348138E-06</v>
      </c>
      <c r="O11" s="160">
        <v>1288794.5</v>
      </c>
      <c r="P11" s="204">
        <f>'Est Act'!O7</f>
        <v>1288787</v>
      </c>
      <c r="Q11" s="237">
        <f>'2024 Detail'!O12</f>
        <v>1372798.3</v>
      </c>
      <c r="R11" s="33">
        <v>742478</v>
      </c>
      <c r="S11" s="33">
        <v>776651</v>
      </c>
      <c r="T11" s="33">
        <v>814110</v>
      </c>
      <c r="U11" s="33">
        <v>865764</v>
      </c>
      <c r="V11" s="33">
        <v>843760</v>
      </c>
      <c r="W11" s="33">
        <v>848870</v>
      </c>
      <c r="X11" s="43"/>
      <c r="Y11" s="43"/>
    </row>
    <row r="12" spans="1:25" s="6" customFormat="1" ht="13.5" customHeight="1">
      <c r="A12" s="39"/>
      <c r="B12" s="40" t="s">
        <v>115</v>
      </c>
      <c r="C12" s="41">
        <f>$Q12</f>
        <v>144</v>
      </c>
      <c r="D12" s="42">
        <f>$P12</f>
        <v>118</v>
      </c>
      <c r="E12" s="42">
        <f>C12-D12</f>
        <v>26</v>
      </c>
      <c r="F12" s="11">
        <f>IF(D12&lt;&gt;0,E12/D12,0)</f>
        <v>0.22033898305084745</v>
      </c>
      <c r="G12" s="41">
        <f>$Q12</f>
        <v>144</v>
      </c>
      <c r="H12" s="42">
        <f>$O12</f>
        <v>144</v>
      </c>
      <c r="I12" s="42">
        <f>G12-H12</f>
        <v>0</v>
      </c>
      <c r="J12" s="403">
        <f>IF(H12&lt;&gt;0,I12/H12,0)</f>
        <v>0</v>
      </c>
      <c r="K12" s="411">
        <f>$P12</f>
        <v>118</v>
      </c>
      <c r="L12" s="42">
        <f>$O12</f>
        <v>144</v>
      </c>
      <c r="M12" s="42">
        <f>K12-L12</f>
        <v>-26</v>
      </c>
      <c r="N12" s="11">
        <f>IF(L12&lt;&gt;0,M12/L12,0)</f>
        <v>-0.18055555555555555</v>
      </c>
      <c r="O12" s="160">
        <v>144</v>
      </c>
      <c r="P12" s="204">
        <f>'Est Act'!O8</f>
        <v>118</v>
      </c>
      <c r="Q12" s="237">
        <f>'2024 Detail'!O13</f>
        <v>144</v>
      </c>
      <c r="R12" s="33"/>
      <c r="S12" s="33"/>
      <c r="T12" s="33"/>
      <c r="U12" s="33"/>
      <c r="V12" s="33">
        <v>400</v>
      </c>
      <c r="W12" s="33">
        <v>86</v>
      </c>
      <c r="X12" s="43"/>
      <c r="Y12" s="44"/>
    </row>
    <row r="13" spans="1:25" s="6" customFormat="1" ht="13.5" customHeight="1">
      <c r="A13" s="39"/>
      <c r="B13" s="40" t="s">
        <v>243</v>
      </c>
      <c r="C13" s="41">
        <f>$Q13</f>
        <v>0</v>
      </c>
      <c r="D13" s="42">
        <f>$P13</f>
        <v>409</v>
      </c>
      <c r="E13" s="42">
        <f>C13-D13</f>
        <v>-409</v>
      </c>
      <c r="F13" s="11">
        <f>IF(D13&lt;&gt;0,E13/D13,0)</f>
        <v>-1</v>
      </c>
      <c r="G13" s="41">
        <f>$Q13</f>
        <v>0</v>
      </c>
      <c r="H13" s="42">
        <f>$O13</f>
        <v>0</v>
      </c>
      <c r="I13" s="42">
        <f>G13-H13</f>
        <v>0</v>
      </c>
      <c r="J13" s="403">
        <f>IF(H13&lt;&gt;0,I13/H13,0)</f>
        <v>0</v>
      </c>
      <c r="K13" s="411">
        <f>$P13</f>
        <v>409</v>
      </c>
      <c r="L13" s="42">
        <f>$O13</f>
        <v>0</v>
      </c>
      <c r="M13" s="42">
        <f>K13-L13</f>
        <v>409</v>
      </c>
      <c r="N13" s="11">
        <f>IF(L13&lt;&gt;0,M13/L13,0)</f>
        <v>0</v>
      </c>
      <c r="O13" s="160"/>
      <c r="P13" s="204">
        <f>'Est Act'!O9</f>
        <v>409</v>
      </c>
      <c r="Q13" s="237"/>
      <c r="R13" s="33"/>
      <c r="S13" s="33">
        <v>657</v>
      </c>
      <c r="T13" s="33">
        <v>304</v>
      </c>
      <c r="U13" s="33">
        <v>167</v>
      </c>
      <c r="V13" s="33">
        <v>169</v>
      </c>
      <c r="W13" s="33"/>
      <c r="X13" s="43"/>
      <c r="Y13" s="44"/>
    </row>
    <row r="14" spans="1:25" s="6" customFormat="1" ht="13.5" customHeight="1">
      <c r="A14" s="39"/>
      <c r="B14" s="40" t="s">
        <v>116</v>
      </c>
      <c r="C14" s="41">
        <f>$Q14</f>
        <v>22008</v>
      </c>
      <c r="D14" s="42">
        <f>$P14</f>
        <v>19848</v>
      </c>
      <c r="E14" s="42">
        <f>C14-D14</f>
        <v>2160</v>
      </c>
      <c r="F14" s="11">
        <f>IF(D14&lt;&gt;0,E14/D14,0)</f>
        <v>0.10882708585247884</v>
      </c>
      <c r="G14" s="41">
        <f>$Q14</f>
        <v>22008</v>
      </c>
      <c r="H14" s="42">
        <f>$O14</f>
        <v>19848</v>
      </c>
      <c r="I14" s="42">
        <f>G14-H14</f>
        <v>2160</v>
      </c>
      <c r="J14" s="403">
        <f>IF(H14&lt;&gt;0,I14/H14,0)</f>
        <v>0.10882708585247884</v>
      </c>
      <c r="K14" s="411">
        <f>$P14</f>
        <v>19848</v>
      </c>
      <c r="L14" s="42">
        <f>$O14</f>
        <v>19848</v>
      </c>
      <c r="M14" s="42">
        <f>K14-L14</f>
        <v>0</v>
      </c>
      <c r="N14" s="11">
        <f>IF(L14&lt;&gt;0,M14/L14,0)</f>
        <v>0</v>
      </c>
      <c r="O14" s="160">
        <v>19848</v>
      </c>
      <c r="P14" s="204">
        <f>'Est Act'!O10</f>
        <v>19848</v>
      </c>
      <c r="Q14" s="237">
        <f>'2024 Detail'!O14</f>
        <v>22008</v>
      </c>
      <c r="R14" s="33">
        <v>48188</v>
      </c>
      <c r="S14" s="33">
        <v>31380</v>
      </c>
      <c r="T14" s="33">
        <v>32198</v>
      </c>
      <c r="U14" s="33">
        <v>35928</v>
      </c>
      <c r="V14" s="33">
        <v>36780</v>
      </c>
      <c r="W14" s="33">
        <v>36780</v>
      </c>
      <c r="X14" s="43"/>
      <c r="Y14" s="43"/>
    </row>
    <row r="15" spans="1:25" s="6" customFormat="1" ht="6.75" customHeight="1">
      <c r="A15" s="39"/>
      <c r="B15" s="12"/>
      <c r="C15" s="45"/>
      <c r="D15" s="46"/>
      <c r="E15" s="46"/>
      <c r="F15" s="9"/>
      <c r="G15" s="45"/>
      <c r="H15" s="46"/>
      <c r="I15" s="46"/>
      <c r="J15" s="404"/>
      <c r="K15" s="412"/>
      <c r="L15" s="46"/>
      <c r="M15" s="46"/>
      <c r="N15" s="9"/>
      <c r="O15" s="161"/>
      <c r="P15" s="205"/>
      <c r="Q15" s="238"/>
      <c r="R15" s="47"/>
      <c r="S15" s="47"/>
      <c r="T15" s="47"/>
      <c r="U15" s="47"/>
      <c r="V15" s="47"/>
      <c r="W15" s="47"/>
      <c r="X15" s="48"/>
      <c r="Y15" s="49"/>
    </row>
    <row r="16" spans="1:25" s="6" customFormat="1" ht="18" customHeight="1">
      <c r="A16" s="50" t="s">
        <v>117</v>
      </c>
      <c r="B16" s="12"/>
      <c r="C16" s="29">
        <f>SUM(C11:C15)</f>
        <v>1394950.3</v>
      </c>
      <c r="D16" s="30">
        <f>SUM(D11:D15)</f>
        <v>1309162</v>
      </c>
      <c r="E16" s="30">
        <f>SUM(E11:E15)</f>
        <v>85788.30000000005</v>
      </c>
      <c r="F16" s="32">
        <f>IF(D16&lt;&gt;0,E16/D16,0)</f>
        <v>0.06552917056865387</v>
      </c>
      <c r="G16" s="29">
        <f>SUM(G11:G15)</f>
        <v>1394950.3</v>
      </c>
      <c r="H16" s="30">
        <f>SUM(H11:H15)</f>
        <v>1308786.5</v>
      </c>
      <c r="I16" s="30">
        <f>SUM(I11:I15)</f>
        <v>86163.80000000005</v>
      </c>
      <c r="J16" s="31">
        <f>IF(H16&lt;&gt;0,I16/H16,0)</f>
        <v>0.06583487833959172</v>
      </c>
      <c r="K16" s="409">
        <f>SUM(K11:K15)</f>
        <v>1309162</v>
      </c>
      <c r="L16" s="30">
        <f>SUM(L11:L15)</f>
        <v>1308786.5</v>
      </c>
      <c r="M16" s="30">
        <f>SUM(M11:M15)</f>
        <v>375.5</v>
      </c>
      <c r="N16" s="32">
        <f>IF(L16&lt;&gt;0,M16/L16,0)</f>
        <v>0.00028690699361584186</v>
      </c>
      <c r="O16" s="229">
        <f>SUM(O11:O14)</f>
        <v>1308786.5</v>
      </c>
      <c r="P16" s="230">
        <f aca="true" t="shared" si="0" ref="P16:V16">SUM(P11:P15)</f>
        <v>1309162</v>
      </c>
      <c r="Q16" s="239">
        <f t="shared" si="0"/>
        <v>1394950.3</v>
      </c>
      <c r="R16" s="51">
        <f>SUM(R11:R14)</f>
        <v>790666</v>
      </c>
      <c r="S16" s="51">
        <f t="shared" si="0"/>
        <v>808688</v>
      </c>
      <c r="T16" s="51">
        <f t="shared" si="0"/>
        <v>846612</v>
      </c>
      <c r="U16" s="51">
        <f t="shared" si="0"/>
        <v>901859</v>
      </c>
      <c r="V16" s="51">
        <f t="shared" si="0"/>
        <v>881109</v>
      </c>
      <c r="W16" s="51">
        <f>SUM(W11:W15)</f>
        <v>885736</v>
      </c>
      <c r="X16" s="46"/>
      <c r="Y16" s="49"/>
    </row>
    <row r="17" spans="1:25" s="6" customFormat="1" ht="10.5" customHeight="1">
      <c r="A17" s="38"/>
      <c r="B17" s="28"/>
      <c r="C17" s="52"/>
      <c r="D17" s="53"/>
      <c r="E17" s="53"/>
      <c r="F17" s="37"/>
      <c r="G17" s="52"/>
      <c r="H17" s="53"/>
      <c r="I17" s="53"/>
      <c r="J17" s="402"/>
      <c r="K17" s="413"/>
      <c r="L17" s="53"/>
      <c r="M17" s="53"/>
      <c r="N17" s="37"/>
      <c r="O17" s="163"/>
      <c r="P17" s="207"/>
      <c r="Q17" s="240"/>
      <c r="R17" s="54"/>
      <c r="S17" s="54"/>
      <c r="T17" s="54"/>
      <c r="U17" s="54"/>
      <c r="V17" s="54"/>
      <c r="W17" s="54"/>
      <c r="X17" s="43"/>
      <c r="Y17" s="44"/>
    </row>
    <row r="18" spans="1:25" s="6" customFormat="1" ht="15" customHeight="1">
      <c r="A18" s="27" t="s">
        <v>118</v>
      </c>
      <c r="B18" s="28"/>
      <c r="C18" s="52"/>
      <c r="D18" s="53"/>
      <c r="E18" s="53"/>
      <c r="F18" s="37"/>
      <c r="G18" s="52"/>
      <c r="H18" s="53"/>
      <c r="I18" s="53"/>
      <c r="J18" s="402"/>
      <c r="K18" s="413"/>
      <c r="L18" s="53"/>
      <c r="M18" s="53"/>
      <c r="N18" s="37"/>
      <c r="O18" s="163"/>
      <c r="P18" s="207"/>
      <c r="Q18" s="240"/>
      <c r="R18" s="43"/>
      <c r="S18" s="43"/>
      <c r="T18" s="43"/>
      <c r="U18" s="43"/>
      <c r="V18" s="43"/>
      <c r="W18" s="43"/>
      <c r="X18" s="43"/>
      <c r="Y18" s="44"/>
    </row>
    <row r="19" spans="1:25" s="6" customFormat="1" ht="6.75" customHeight="1">
      <c r="A19" s="38"/>
      <c r="B19" s="28"/>
      <c r="C19" s="52"/>
      <c r="D19" s="53"/>
      <c r="E19" s="53"/>
      <c r="F19" s="37"/>
      <c r="G19" s="52"/>
      <c r="H19" s="53"/>
      <c r="I19" s="53"/>
      <c r="J19" s="402"/>
      <c r="K19" s="413"/>
      <c r="L19" s="53"/>
      <c r="M19" s="53"/>
      <c r="N19" s="37"/>
      <c r="O19" s="163"/>
      <c r="P19" s="207"/>
      <c r="Q19" s="240"/>
      <c r="R19" s="43"/>
      <c r="S19" s="43"/>
      <c r="T19" s="43"/>
      <c r="U19" s="43"/>
      <c r="V19" s="43"/>
      <c r="W19" s="43"/>
      <c r="X19" s="43"/>
      <c r="Y19" s="44"/>
    </row>
    <row r="20" spans="1:25" ht="13.5" customHeight="1">
      <c r="A20" s="12" t="s">
        <v>25</v>
      </c>
      <c r="C20" s="41"/>
      <c r="D20" s="42"/>
      <c r="E20" s="42"/>
      <c r="G20" s="41"/>
      <c r="H20" s="42"/>
      <c r="I20" s="42"/>
      <c r="J20" s="403"/>
      <c r="K20" s="411"/>
      <c r="L20" s="42"/>
      <c r="M20" s="42"/>
      <c r="O20" s="164"/>
      <c r="P20" s="208"/>
      <c r="Q20" s="241"/>
      <c r="R20" s="57"/>
      <c r="S20" s="57"/>
      <c r="T20" s="57"/>
      <c r="U20" s="57"/>
      <c r="V20" s="57"/>
      <c r="W20" s="57"/>
      <c r="X20" s="43"/>
      <c r="Y20" s="44"/>
    </row>
    <row r="21" spans="1:39" ht="12.75" customHeight="1">
      <c r="A21" s="39"/>
      <c r="B21" s="40" t="s">
        <v>120</v>
      </c>
      <c r="C21" s="41">
        <f aca="true" t="shared" si="1" ref="C21:C36">$Q21</f>
        <v>22200</v>
      </c>
      <c r="D21" s="42">
        <f aca="true" t="shared" si="2" ref="D21:D36">$P21</f>
        <v>22200</v>
      </c>
      <c r="E21" s="42">
        <f aca="true" t="shared" si="3" ref="E21:E34">D21-C21</f>
        <v>0</v>
      </c>
      <c r="F21" s="11">
        <f aca="true" t="shared" si="4" ref="F21:F37">IF(D21&lt;&gt;0,E21/D21,0)</f>
        <v>0</v>
      </c>
      <c r="G21" s="41">
        <f aca="true" t="shared" si="5" ref="G21:G36">$Q21</f>
        <v>22200</v>
      </c>
      <c r="H21" s="42">
        <f aca="true" t="shared" si="6" ref="H21:H36">$O21</f>
        <v>22200</v>
      </c>
      <c r="I21" s="42">
        <f aca="true" t="shared" si="7" ref="I21:I36">H21-G21</f>
        <v>0</v>
      </c>
      <c r="J21" s="403">
        <f aca="true" t="shared" si="8" ref="J21:J37">IF(H21&lt;&gt;0,I21/H21,0)</f>
        <v>0</v>
      </c>
      <c r="K21" s="411">
        <f aca="true" t="shared" si="9" ref="K21:K36">$P21</f>
        <v>22200</v>
      </c>
      <c r="L21" s="42">
        <f aca="true" t="shared" si="10" ref="L21:L36">$O21</f>
        <v>22200</v>
      </c>
      <c r="M21" s="42">
        <f aca="true" t="shared" si="11" ref="M21:M36">L21-K21</f>
        <v>0</v>
      </c>
      <c r="N21" s="11">
        <f aca="true" t="shared" si="12" ref="N21:N37">IF(L21&lt;&gt;0,M21/L21,0)</f>
        <v>0</v>
      </c>
      <c r="O21" s="160">
        <v>22200</v>
      </c>
      <c r="P21" s="204">
        <f>'Est Act'!O22</f>
        <v>22200</v>
      </c>
      <c r="Q21" s="237">
        <f>'2024 Detail'!O23</f>
        <v>22200</v>
      </c>
      <c r="R21" s="33">
        <v>6000</v>
      </c>
      <c r="S21" s="33">
        <v>6000</v>
      </c>
      <c r="T21" s="33">
        <v>6000</v>
      </c>
      <c r="U21" s="33">
        <v>6000</v>
      </c>
      <c r="V21" s="33">
        <v>6000</v>
      </c>
      <c r="W21" s="33">
        <v>6000</v>
      </c>
      <c r="X21" s="43"/>
      <c r="Y21" s="44"/>
      <c r="Z21" s="42"/>
      <c r="AA21" s="58"/>
      <c r="AC21" s="42"/>
      <c r="AD21" s="42"/>
      <c r="AE21" s="58"/>
      <c r="AF21" s="42"/>
      <c r="AG21" s="42"/>
      <c r="AH21" s="42"/>
      <c r="AI21" s="58"/>
      <c r="AJ21" s="42"/>
      <c r="AK21" s="42"/>
      <c r="AL21" s="42"/>
      <c r="AM21" s="42"/>
    </row>
    <row r="22" spans="1:39" ht="12.75" customHeight="1">
      <c r="A22" s="39"/>
      <c r="B22" s="40" t="s">
        <v>425</v>
      </c>
      <c r="C22" s="41">
        <f t="shared" si="1"/>
        <v>0</v>
      </c>
      <c r="D22" s="42">
        <f t="shared" si="2"/>
        <v>119</v>
      </c>
      <c r="E22" s="42">
        <f t="shared" si="3"/>
        <v>119</v>
      </c>
      <c r="F22" s="11">
        <f t="shared" si="4"/>
        <v>1</v>
      </c>
      <c r="G22" s="41">
        <f t="shared" si="5"/>
        <v>0</v>
      </c>
      <c r="H22" s="42">
        <f t="shared" si="6"/>
        <v>0</v>
      </c>
      <c r="I22" s="42">
        <f t="shared" si="7"/>
        <v>0</v>
      </c>
      <c r="J22" s="403">
        <f t="shared" si="8"/>
        <v>0</v>
      </c>
      <c r="K22" s="411">
        <f t="shared" si="9"/>
        <v>119</v>
      </c>
      <c r="L22" s="42">
        <f t="shared" si="10"/>
        <v>0</v>
      </c>
      <c r="M22" s="42">
        <f t="shared" si="11"/>
        <v>-119</v>
      </c>
      <c r="N22" s="11">
        <f t="shared" si="12"/>
        <v>0</v>
      </c>
      <c r="O22" s="160">
        <v>0</v>
      </c>
      <c r="P22" s="204">
        <f>'Est Act'!O23</f>
        <v>119</v>
      </c>
      <c r="Q22" s="237">
        <f>'2024 Detail'!O24</f>
        <v>0</v>
      </c>
      <c r="R22" s="33"/>
      <c r="S22" s="33"/>
      <c r="T22" s="33">
        <v>1028</v>
      </c>
      <c r="U22" s="33">
        <v>2103</v>
      </c>
      <c r="V22" s="33">
        <v>2473</v>
      </c>
      <c r="W22" s="33">
        <v>344</v>
      </c>
      <c r="X22" s="43"/>
      <c r="Y22" s="44"/>
      <c r="Z22" s="42"/>
      <c r="AA22" s="58"/>
      <c r="AC22" s="42"/>
      <c r="AD22" s="42"/>
      <c r="AE22" s="58"/>
      <c r="AF22" s="42"/>
      <c r="AG22" s="42"/>
      <c r="AH22" s="42"/>
      <c r="AI22" s="58"/>
      <c r="AJ22" s="42"/>
      <c r="AK22" s="42"/>
      <c r="AL22" s="42"/>
      <c r="AM22" s="42"/>
    </row>
    <row r="23" spans="1:39" ht="12.75" customHeight="1">
      <c r="A23" s="39"/>
      <c r="B23" s="40" t="s">
        <v>597</v>
      </c>
      <c r="C23" s="41">
        <f t="shared" si="1"/>
        <v>16900</v>
      </c>
      <c r="D23" s="42">
        <f t="shared" si="2"/>
        <v>15300</v>
      </c>
      <c r="E23" s="42">
        <f t="shared" si="3"/>
        <v>-1600</v>
      </c>
      <c r="F23" s="11">
        <f t="shared" si="4"/>
        <v>-0.10457516339869281</v>
      </c>
      <c r="G23" s="41">
        <f t="shared" si="5"/>
        <v>16900</v>
      </c>
      <c r="H23" s="42">
        <f t="shared" si="6"/>
        <v>16900</v>
      </c>
      <c r="I23" s="42">
        <f t="shared" si="7"/>
        <v>0</v>
      </c>
      <c r="J23" s="403">
        <f t="shared" si="8"/>
        <v>0</v>
      </c>
      <c r="K23" s="411">
        <f t="shared" si="9"/>
        <v>15300</v>
      </c>
      <c r="L23" s="42">
        <f t="shared" si="10"/>
        <v>16900</v>
      </c>
      <c r="M23" s="42">
        <f t="shared" si="11"/>
        <v>1600</v>
      </c>
      <c r="N23" s="11">
        <f t="shared" si="12"/>
        <v>0.09467455621301775</v>
      </c>
      <c r="O23" s="160">
        <v>16900</v>
      </c>
      <c r="P23" s="204">
        <f>'Est Act'!O24</f>
        <v>15300</v>
      </c>
      <c r="Q23" s="237">
        <f>'2024 Detail'!O25</f>
        <v>16900</v>
      </c>
      <c r="R23" s="33">
        <v>17048</v>
      </c>
      <c r="S23" s="33">
        <v>17700</v>
      </c>
      <c r="T23" s="33">
        <v>15954</v>
      </c>
      <c r="U23" s="33">
        <v>16358</v>
      </c>
      <c r="V23" s="33">
        <v>16317</v>
      </c>
      <c r="W23" s="33">
        <v>16043</v>
      </c>
      <c r="X23" s="43"/>
      <c r="Y23" s="44"/>
      <c r="Z23" s="42"/>
      <c r="AA23" s="58"/>
      <c r="AC23" s="42"/>
      <c r="AD23" s="42"/>
      <c r="AE23" s="58"/>
      <c r="AF23" s="42"/>
      <c r="AG23" s="42"/>
      <c r="AH23" s="42"/>
      <c r="AI23" s="58"/>
      <c r="AJ23" s="42"/>
      <c r="AK23" s="42"/>
      <c r="AL23" s="42"/>
      <c r="AM23" s="42"/>
    </row>
    <row r="24" spans="1:39" ht="12.75" customHeight="1">
      <c r="A24" s="39"/>
      <c r="B24" s="40" t="s">
        <v>596</v>
      </c>
      <c r="C24" s="41">
        <f t="shared" si="1"/>
        <v>4800</v>
      </c>
      <c r="D24" s="42">
        <f t="shared" si="2"/>
        <v>4123</v>
      </c>
      <c r="E24" s="42">
        <f>D24-C24</f>
        <v>-677</v>
      </c>
      <c r="F24" s="11">
        <f>IF(D24&lt;&gt;0,E24/D24,0)</f>
        <v>-0.16420082464225078</v>
      </c>
      <c r="G24" s="41">
        <f t="shared" si="5"/>
        <v>4800</v>
      </c>
      <c r="H24" s="42">
        <f t="shared" si="6"/>
        <v>6400</v>
      </c>
      <c r="I24" s="42">
        <f t="shared" si="7"/>
        <v>1600</v>
      </c>
      <c r="J24" s="403">
        <f>IF(H24&lt;&gt;0,I24/H24,0)</f>
        <v>0.25</v>
      </c>
      <c r="K24" s="411">
        <f t="shared" si="9"/>
        <v>4123</v>
      </c>
      <c r="L24" s="42">
        <f t="shared" si="10"/>
        <v>6400</v>
      </c>
      <c r="M24" s="42">
        <f>L24-K24</f>
        <v>2277</v>
      </c>
      <c r="N24" s="11">
        <f>IF(L24&lt;&gt;0,M24/L24,0)</f>
        <v>0.35578125</v>
      </c>
      <c r="O24" s="160">
        <v>6400</v>
      </c>
      <c r="P24" s="204">
        <f>'Est Act'!O25</f>
        <v>4123</v>
      </c>
      <c r="Q24" s="237">
        <f>'2024 Detail'!O26</f>
        <v>4800</v>
      </c>
      <c r="R24" s="33"/>
      <c r="S24" s="33"/>
      <c r="T24" s="33"/>
      <c r="U24" s="33"/>
      <c r="V24" s="33">
        <v>2542</v>
      </c>
      <c r="W24" s="33">
        <v>5148</v>
      </c>
      <c r="X24" s="43"/>
      <c r="Y24" s="44"/>
      <c r="Z24" s="42"/>
      <c r="AA24" s="58"/>
      <c r="AC24" s="42"/>
      <c r="AD24" s="42"/>
      <c r="AE24" s="58"/>
      <c r="AF24" s="42"/>
      <c r="AG24" s="42"/>
      <c r="AH24" s="42"/>
      <c r="AI24" s="58"/>
      <c r="AJ24" s="42"/>
      <c r="AK24" s="42"/>
      <c r="AL24" s="42"/>
      <c r="AM24" s="42"/>
    </row>
    <row r="25" spans="1:39" ht="12.75" customHeight="1">
      <c r="A25" s="39"/>
      <c r="B25" s="40" t="s">
        <v>593</v>
      </c>
      <c r="C25" s="41">
        <f t="shared" si="1"/>
        <v>1700</v>
      </c>
      <c r="D25" s="42">
        <f t="shared" si="2"/>
        <v>0</v>
      </c>
      <c r="E25" s="42">
        <f>D25-C25</f>
        <v>-1700</v>
      </c>
      <c r="F25" s="11">
        <f>IF(D25&lt;&gt;0,E25/D25,0)</f>
        <v>0</v>
      </c>
      <c r="G25" s="41">
        <f t="shared" si="5"/>
        <v>1700</v>
      </c>
      <c r="H25" s="42">
        <f t="shared" si="6"/>
        <v>0</v>
      </c>
      <c r="I25" s="42">
        <f>H25-G25</f>
        <v>-1700</v>
      </c>
      <c r="J25" s="403">
        <f>IF(H25&lt;&gt;0,I25/H25,0)</f>
        <v>0</v>
      </c>
      <c r="K25" s="411">
        <f t="shared" si="9"/>
        <v>0</v>
      </c>
      <c r="L25" s="42">
        <f t="shared" si="10"/>
        <v>0</v>
      </c>
      <c r="M25" s="42">
        <f>L25-K25</f>
        <v>0</v>
      </c>
      <c r="N25" s="11">
        <f>IF(L25&lt;&gt;0,M25/L25,0)</f>
        <v>0</v>
      </c>
      <c r="O25" s="160"/>
      <c r="P25" s="204"/>
      <c r="Q25" s="237">
        <f>'2024 Detail'!O27</f>
        <v>1700</v>
      </c>
      <c r="R25" s="33"/>
      <c r="S25" s="33"/>
      <c r="T25" s="33"/>
      <c r="U25" s="33"/>
      <c r="V25" s="33">
        <v>2542</v>
      </c>
      <c r="W25" s="33">
        <v>5148</v>
      </c>
      <c r="X25" s="43"/>
      <c r="Y25" s="44"/>
      <c r="Z25" s="42"/>
      <c r="AA25" s="58"/>
      <c r="AC25" s="42"/>
      <c r="AD25" s="42"/>
      <c r="AE25" s="58"/>
      <c r="AF25" s="42"/>
      <c r="AG25" s="42"/>
      <c r="AH25" s="42"/>
      <c r="AI25" s="58"/>
      <c r="AJ25" s="42"/>
      <c r="AK25" s="42"/>
      <c r="AL25" s="42"/>
      <c r="AM25" s="42"/>
    </row>
    <row r="26" spans="1:39" ht="12.75" customHeight="1">
      <c r="A26" s="39"/>
      <c r="B26" s="40" t="s">
        <v>121</v>
      </c>
      <c r="C26" s="41">
        <f t="shared" si="1"/>
        <v>7800</v>
      </c>
      <c r="D26" s="42">
        <f t="shared" si="2"/>
        <v>8909</v>
      </c>
      <c r="E26" s="42">
        <f t="shared" si="3"/>
        <v>1109</v>
      </c>
      <c r="F26" s="11">
        <f t="shared" si="4"/>
        <v>0.12448086204961276</v>
      </c>
      <c r="G26" s="41">
        <f t="shared" si="5"/>
        <v>7800</v>
      </c>
      <c r="H26" s="42">
        <f t="shared" si="6"/>
        <v>7800</v>
      </c>
      <c r="I26" s="42">
        <f t="shared" si="7"/>
        <v>0</v>
      </c>
      <c r="J26" s="403">
        <f t="shared" si="8"/>
        <v>0</v>
      </c>
      <c r="K26" s="411">
        <f t="shared" si="9"/>
        <v>8909</v>
      </c>
      <c r="L26" s="42">
        <f t="shared" si="10"/>
        <v>7800</v>
      </c>
      <c r="M26" s="42">
        <f t="shared" si="11"/>
        <v>-1109</v>
      </c>
      <c r="N26" s="11">
        <f t="shared" si="12"/>
        <v>-0.14217948717948717</v>
      </c>
      <c r="O26" s="160">
        <v>7800</v>
      </c>
      <c r="P26" s="204">
        <f>'Est Act'!O26</f>
        <v>8909</v>
      </c>
      <c r="Q26" s="237">
        <f>'2024 Detail'!O28</f>
        <v>7800</v>
      </c>
      <c r="R26" s="33">
        <v>4458</v>
      </c>
      <c r="S26" s="33">
        <v>4403</v>
      </c>
      <c r="T26" s="33">
        <v>4845</v>
      </c>
      <c r="U26" s="33">
        <v>5977</v>
      </c>
      <c r="V26" s="33">
        <v>6432</v>
      </c>
      <c r="W26" s="33">
        <v>5976</v>
      </c>
      <c r="X26" s="43"/>
      <c r="Y26" s="44"/>
      <c r="Z26" s="42"/>
      <c r="AA26" s="58"/>
      <c r="AC26" s="42"/>
      <c r="AD26" s="42"/>
      <c r="AE26" s="58"/>
      <c r="AF26" s="42"/>
      <c r="AG26" s="42"/>
      <c r="AH26" s="42"/>
      <c r="AI26" s="58"/>
      <c r="AJ26" s="42"/>
      <c r="AK26" s="42"/>
      <c r="AL26" s="42"/>
      <c r="AM26" s="42"/>
    </row>
    <row r="27" spans="1:39" ht="12.75" customHeight="1">
      <c r="A27" s="39"/>
      <c r="B27" s="40" t="s">
        <v>227</v>
      </c>
      <c r="C27" s="41">
        <f t="shared" si="1"/>
        <v>0</v>
      </c>
      <c r="D27" s="42">
        <f t="shared" si="2"/>
        <v>0</v>
      </c>
      <c r="E27" s="42">
        <f>D27-C27</f>
        <v>0</v>
      </c>
      <c r="F27" s="11">
        <f>IF(D27&lt;&gt;0,E27/D27,0)</f>
        <v>0</v>
      </c>
      <c r="G27" s="41">
        <f t="shared" si="5"/>
        <v>0</v>
      </c>
      <c r="H27" s="42">
        <f t="shared" si="6"/>
        <v>0</v>
      </c>
      <c r="I27" s="42">
        <f t="shared" si="7"/>
        <v>0</v>
      </c>
      <c r="J27" s="403">
        <f>IF(H27&lt;&gt;0,I27/H27,0)</f>
        <v>0</v>
      </c>
      <c r="K27" s="411">
        <f t="shared" si="9"/>
        <v>0</v>
      </c>
      <c r="L27" s="42">
        <f t="shared" si="10"/>
        <v>0</v>
      </c>
      <c r="M27" s="42">
        <f>L27-K27</f>
        <v>0</v>
      </c>
      <c r="N27" s="11">
        <f>IF(L27&lt;&gt;0,M27/L27,0)</f>
        <v>0</v>
      </c>
      <c r="O27" s="160">
        <v>0</v>
      </c>
      <c r="P27" s="204"/>
      <c r="Q27" s="237">
        <f>'2024 Detail'!O29</f>
        <v>0</v>
      </c>
      <c r="R27" s="33"/>
      <c r="S27" s="33"/>
      <c r="T27" s="33">
        <v>110</v>
      </c>
      <c r="U27" s="33">
        <v>-30</v>
      </c>
      <c r="V27" s="33">
        <v>837</v>
      </c>
      <c r="W27" s="33">
        <v>10</v>
      </c>
      <c r="X27" s="43"/>
      <c r="Y27" s="44"/>
      <c r="Z27" s="42"/>
      <c r="AA27" s="58"/>
      <c r="AC27" s="42"/>
      <c r="AD27" s="42"/>
      <c r="AE27" s="58"/>
      <c r="AF27" s="42"/>
      <c r="AG27" s="42"/>
      <c r="AH27" s="42"/>
      <c r="AI27" s="58"/>
      <c r="AJ27" s="42"/>
      <c r="AK27" s="42"/>
      <c r="AL27" s="42"/>
      <c r="AM27" s="42"/>
    </row>
    <row r="28" spans="1:39" ht="12.75" customHeight="1">
      <c r="A28" s="39"/>
      <c r="B28" s="40" t="s">
        <v>122</v>
      </c>
      <c r="C28" s="41">
        <f t="shared" si="1"/>
        <v>600</v>
      </c>
      <c r="D28" s="42">
        <f t="shared" si="2"/>
        <v>512</v>
      </c>
      <c r="E28" s="42">
        <f t="shared" si="3"/>
        <v>-88</v>
      </c>
      <c r="F28" s="11">
        <f t="shared" si="4"/>
        <v>-0.171875</v>
      </c>
      <c r="G28" s="41">
        <f t="shared" si="5"/>
        <v>600</v>
      </c>
      <c r="H28" s="42">
        <f t="shared" si="6"/>
        <v>600</v>
      </c>
      <c r="I28" s="42">
        <f t="shared" si="7"/>
        <v>0</v>
      </c>
      <c r="J28" s="403">
        <f t="shared" si="8"/>
        <v>0</v>
      </c>
      <c r="K28" s="411">
        <f t="shared" si="9"/>
        <v>512</v>
      </c>
      <c r="L28" s="42">
        <f t="shared" si="10"/>
        <v>600</v>
      </c>
      <c r="M28" s="42">
        <f t="shared" si="11"/>
        <v>88</v>
      </c>
      <c r="N28" s="11">
        <f t="shared" si="12"/>
        <v>0.14666666666666667</v>
      </c>
      <c r="O28" s="160">
        <v>600</v>
      </c>
      <c r="P28" s="204">
        <f>'Est Act'!O27</f>
        <v>512</v>
      </c>
      <c r="Q28" s="237">
        <f>'2024 Detail'!O30</f>
        <v>600</v>
      </c>
      <c r="R28" s="33">
        <v>397</v>
      </c>
      <c r="S28" s="33">
        <v>242</v>
      </c>
      <c r="T28" s="33">
        <v>168</v>
      </c>
      <c r="U28" s="33">
        <v>547</v>
      </c>
      <c r="V28" s="33">
        <v>654</v>
      </c>
      <c r="W28" s="33">
        <v>488</v>
      </c>
      <c r="X28" s="43"/>
      <c r="Y28" s="44"/>
      <c r="Z28" s="42"/>
      <c r="AA28" s="58"/>
      <c r="AC28" s="42"/>
      <c r="AD28" s="42"/>
      <c r="AE28" s="58"/>
      <c r="AF28" s="42"/>
      <c r="AG28" s="42"/>
      <c r="AH28" s="42"/>
      <c r="AI28" s="58"/>
      <c r="AJ28" s="42"/>
      <c r="AK28" s="42"/>
      <c r="AL28" s="42"/>
      <c r="AM28" s="42"/>
    </row>
    <row r="29" spans="1:39" ht="12.75" customHeight="1">
      <c r="A29" s="39"/>
      <c r="B29" s="40" t="s">
        <v>249</v>
      </c>
      <c r="C29" s="41">
        <f t="shared" si="1"/>
        <v>0</v>
      </c>
      <c r="D29" s="42">
        <f t="shared" si="2"/>
        <v>0</v>
      </c>
      <c r="E29" s="42">
        <f>D29-C29</f>
        <v>0</v>
      </c>
      <c r="F29" s="11">
        <f>IF(D29&lt;&gt;0,E29/D29,0)</f>
        <v>0</v>
      </c>
      <c r="G29" s="41">
        <f t="shared" si="5"/>
        <v>0</v>
      </c>
      <c r="H29" s="42">
        <f t="shared" si="6"/>
        <v>0</v>
      </c>
      <c r="I29" s="42">
        <f t="shared" si="7"/>
        <v>0</v>
      </c>
      <c r="J29" s="403">
        <f>IF(H29&lt;&gt;0,I29/H29,0)</f>
        <v>0</v>
      </c>
      <c r="K29" s="411">
        <f t="shared" si="9"/>
        <v>0</v>
      </c>
      <c r="L29" s="42">
        <f t="shared" si="10"/>
        <v>0</v>
      </c>
      <c r="M29" s="42">
        <f>L29-K29</f>
        <v>0</v>
      </c>
      <c r="N29" s="11">
        <f>IF(L29&lt;&gt;0,M29/L29,0)</f>
        <v>0</v>
      </c>
      <c r="O29" s="160">
        <v>0</v>
      </c>
      <c r="P29" s="204">
        <v>0</v>
      </c>
      <c r="Q29" s="237">
        <f>'2024 Detail'!O31</f>
        <v>0</v>
      </c>
      <c r="R29" s="33"/>
      <c r="S29" s="33"/>
      <c r="T29" s="33"/>
      <c r="U29" s="33"/>
      <c r="V29" s="33">
        <v>30000</v>
      </c>
      <c r="W29" s="33"/>
      <c r="X29" s="43"/>
      <c r="Y29" s="44"/>
      <c r="Z29" s="42"/>
      <c r="AA29" s="58"/>
      <c r="AC29" s="42"/>
      <c r="AD29" s="42"/>
      <c r="AE29" s="58"/>
      <c r="AF29" s="42"/>
      <c r="AG29" s="42"/>
      <c r="AH29" s="42"/>
      <c r="AI29" s="58"/>
      <c r="AJ29" s="42"/>
      <c r="AK29" s="42"/>
      <c r="AL29" s="42"/>
      <c r="AM29" s="42"/>
    </row>
    <row r="30" spans="1:39" ht="12.75" customHeight="1">
      <c r="A30" s="39"/>
      <c r="B30" s="40" t="s">
        <v>266</v>
      </c>
      <c r="C30" s="41">
        <f t="shared" si="1"/>
        <v>13700</v>
      </c>
      <c r="D30" s="42">
        <f t="shared" si="2"/>
        <v>3850</v>
      </c>
      <c r="E30" s="42">
        <f>D30-C30</f>
        <v>-9850</v>
      </c>
      <c r="F30" s="11">
        <f>IF(D30&lt;&gt;0,E30/D30,0)</f>
        <v>-2.5584415584415585</v>
      </c>
      <c r="G30" s="41">
        <f t="shared" si="5"/>
        <v>13700</v>
      </c>
      <c r="H30" s="42">
        <f t="shared" si="6"/>
        <v>13700</v>
      </c>
      <c r="I30" s="42">
        <f t="shared" si="7"/>
        <v>0</v>
      </c>
      <c r="J30" s="403">
        <f>IF(H30&lt;&gt;0,I30/H30,0)</f>
        <v>0</v>
      </c>
      <c r="K30" s="411">
        <f t="shared" si="9"/>
        <v>3850</v>
      </c>
      <c r="L30" s="42">
        <f t="shared" si="10"/>
        <v>13700</v>
      </c>
      <c r="M30" s="42">
        <f>L30-K30</f>
        <v>9850</v>
      </c>
      <c r="N30" s="11">
        <f>IF(L30&lt;&gt;0,M30/L30,0)</f>
        <v>0.718978102189781</v>
      </c>
      <c r="O30" s="160">
        <v>13700</v>
      </c>
      <c r="P30" s="204">
        <f>'Est Act'!O28</f>
        <v>3850</v>
      </c>
      <c r="Q30" s="237">
        <f>'2024 Detail'!O32</f>
        <v>13700</v>
      </c>
      <c r="R30" s="33"/>
      <c r="S30" s="33"/>
      <c r="T30" s="33"/>
      <c r="U30" s="33"/>
      <c r="V30" s="33"/>
      <c r="W30" s="33"/>
      <c r="X30" s="43"/>
      <c r="Y30" s="44"/>
      <c r="Z30" s="42"/>
      <c r="AA30" s="58"/>
      <c r="AC30" s="42"/>
      <c r="AD30" s="42"/>
      <c r="AE30" s="58"/>
      <c r="AF30" s="42"/>
      <c r="AG30" s="42"/>
      <c r="AH30" s="42"/>
      <c r="AI30" s="58"/>
      <c r="AJ30" s="42"/>
      <c r="AK30" s="42"/>
      <c r="AL30" s="42"/>
      <c r="AM30" s="42"/>
    </row>
    <row r="31" spans="1:39" ht="12.75" customHeight="1">
      <c r="A31" s="39"/>
      <c r="B31" s="56" t="s">
        <v>577</v>
      </c>
      <c r="C31" s="41">
        <f t="shared" si="1"/>
        <v>24000</v>
      </c>
      <c r="D31" s="42">
        <f t="shared" si="2"/>
        <v>24000</v>
      </c>
      <c r="E31" s="42">
        <f t="shared" si="3"/>
        <v>0</v>
      </c>
      <c r="F31" s="11">
        <f t="shared" si="4"/>
        <v>0</v>
      </c>
      <c r="G31" s="41">
        <f t="shared" si="5"/>
        <v>24000</v>
      </c>
      <c r="H31" s="42">
        <f t="shared" si="6"/>
        <v>24000</v>
      </c>
      <c r="I31" s="42">
        <f t="shared" si="7"/>
        <v>0</v>
      </c>
      <c r="J31" s="403">
        <f t="shared" si="8"/>
        <v>0</v>
      </c>
      <c r="K31" s="411">
        <f t="shared" si="9"/>
        <v>24000</v>
      </c>
      <c r="L31" s="42">
        <f t="shared" si="10"/>
        <v>24000</v>
      </c>
      <c r="M31" s="42">
        <f t="shared" si="11"/>
        <v>0</v>
      </c>
      <c r="N31" s="11">
        <f t="shared" si="12"/>
        <v>0</v>
      </c>
      <c r="O31" s="160">
        <v>24000</v>
      </c>
      <c r="P31" s="204">
        <f>'Est Act'!O29</f>
        <v>24000</v>
      </c>
      <c r="Q31" s="237">
        <f>'2024 Detail'!O33</f>
        <v>24000</v>
      </c>
      <c r="R31" s="33">
        <v>23445</v>
      </c>
      <c r="S31" s="33">
        <v>24619</v>
      </c>
      <c r="T31" s="33">
        <v>23064</v>
      </c>
      <c r="U31" s="33">
        <v>23149</v>
      </c>
      <c r="V31" s="33">
        <v>23168</v>
      </c>
      <c r="W31" s="33">
        <v>23000</v>
      </c>
      <c r="X31" s="43"/>
      <c r="Y31" s="44"/>
      <c r="Z31" s="42"/>
      <c r="AA31" s="58"/>
      <c r="AC31" s="42"/>
      <c r="AD31" s="42"/>
      <c r="AE31" s="58"/>
      <c r="AF31" s="42"/>
      <c r="AG31" s="42"/>
      <c r="AH31" s="42"/>
      <c r="AI31" s="58"/>
      <c r="AJ31" s="42"/>
      <c r="AK31" s="42"/>
      <c r="AL31" s="42"/>
      <c r="AM31" s="42"/>
    </row>
    <row r="32" spans="2:39" ht="12.75" customHeight="1">
      <c r="B32" s="39" t="s">
        <v>565</v>
      </c>
      <c r="C32" s="41">
        <f t="shared" si="1"/>
        <v>35684.55</v>
      </c>
      <c r="D32" s="42">
        <f t="shared" si="2"/>
        <v>31285</v>
      </c>
      <c r="E32" s="42"/>
      <c r="G32" s="41">
        <f t="shared" si="5"/>
        <v>35684.55</v>
      </c>
      <c r="H32" s="42">
        <f t="shared" si="6"/>
        <v>0</v>
      </c>
      <c r="I32" s="42">
        <f t="shared" si="7"/>
        <v>-35684.55</v>
      </c>
      <c r="J32" s="403"/>
      <c r="K32" s="411">
        <f t="shared" si="9"/>
        <v>31285</v>
      </c>
      <c r="L32" s="42">
        <f t="shared" si="10"/>
        <v>0</v>
      </c>
      <c r="M32" s="42">
        <f t="shared" si="11"/>
        <v>-31285</v>
      </c>
      <c r="O32" s="164"/>
      <c r="P32" s="204">
        <f>'Est Act'!O30</f>
        <v>31285</v>
      </c>
      <c r="Q32" s="242">
        <f>'2024 Detail'!O35</f>
        <v>35684.55</v>
      </c>
      <c r="R32" s="76"/>
      <c r="S32" s="76"/>
      <c r="T32" s="76"/>
      <c r="U32" s="76"/>
      <c r="V32" s="76"/>
      <c r="W32" s="76"/>
      <c r="X32" s="43"/>
      <c r="Y32" s="44"/>
      <c r="Z32" s="42"/>
      <c r="AA32" s="58"/>
      <c r="AC32" s="42"/>
      <c r="AD32" s="42"/>
      <c r="AE32" s="58"/>
      <c r="AF32" s="42"/>
      <c r="AG32" s="42"/>
      <c r="AH32" s="42"/>
      <c r="AI32" s="58"/>
      <c r="AJ32" s="42"/>
      <c r="AK32" s="42"/>
      <c r="AL32" s="42"/>
      <c r="AM32" s="42"/>
    </row>
    <row r="33" spans="1:39" ht="12.75" customHeight="1">
      <c r="A33" s="39"/>
      <c r="B33" s="56" t="s">
        <v>576</v>
      </c>
      <c r="C33" s="41">
        <f t="shared" si="1"/>
        <v>600</v>
      </c>
      <c r="D33" s="42">
        <f t="shared" si="2"/>
        <v>3664</v>
      </c>
      <c r="E33" s="42">
        <f>D33-C33</f>
        <v>3064</v>
      </c>
      <c r="F33" s="11">
        <f>IF(D33&lt;&gt;0,E33/D33,0)</f>
        <v>0.8362445414847162</v>
      </c>
      <c r="G33" s="41">
        <f t="shared" si="5"/>
        <v>600</v>
      </c>
      <c r="H33" s="42">
        <f t="shared" si="6"/>
        <v>300</v>
      </c>
      <c r="I33" s="42">
        <f t="shared" si="7"/>
        <v>-300</v>
      </c>
      <c r="J33" s="403">
        <f>IF(H33&lt;&gt;0,I33/H33,0)</f>
        <v>-1</v>
      </c>
      <c r="K33" s="411">
        <f t="shared" si="9"/>
        <v>3664</v>
      </c>
      <c r="L33" s="42">
        <f t="shared" si="10"/>
        <v>300</v>
      </c>
      <c r="M33" s="42">
        <f t="shared" si="11"/>
        <v>-3364</v>
      </c>
      <c r="N33" s="11">
        <f>IF(L33&lt;&gt;0,M33/L33,0)</f>
        <v>-11.213333333333333</v>
      </c>
      <c r="O33" s="164">
        <v>300</v>
      </c>
      <c r="P33" s="204">
        <f>'Est Act'!O19</f>
        <v>3664</v>
      </c>
      <c r="Q33" s="242">
        <f>'2024 Detail'!O34</f>
        <v>600</v>
      </c>
      <c r="R33" s="76">
        <v>18652</v>
      </c>
      <c r="S33" s="76">
        <v>25441</v>
      </c>
      <c r="T33" s="76">
        <v>13630</v>
      </c>
      <c r="U33" s="76">
        <v>8879</v>
      </c>
      <c r="V33" s="76">
        <v>9033</v>
      </c>
      <c r="W33" s="76">
        <v>9451</v>
      </c>
      <c r="X33" s="43"/>
      <c r="Y33" s="44"/>
      <c r="Z33" s="42"/>
      <c r="AA33" s="58"/>
      <c r="AC33" s="42"/>
      <c r="AD33" s="42"/>
      <c r="AE33" s="58"/>
      <c r="AF33" s="42"/>
      <c r="AG33" s="42"/>
      <c r="AH33" s="42"/>
      <c r="AI33" s="58"/>
      <c r="AJ33" s="42"/>
      <c r="AK33" s="42"/>
      <c r="AL33" s="42"/>
      <c r="AM33" s="42"/>
    </row>
    <row r="34" spans="1:39" ht="12.75" customHeight="1">
      <c r="A34" s="39"/>
      <c r="B34" s="40" t="s">
        <v>566</v>
      </c>
      <c r="C34" s="41">
        <f t="shared" si="1"/>
        <v>157792.80000000002</v>
      </c>
      <c r="D34" s="42">
        <f t="shared" si="2"/>
        <v>143446</v>
      </c>
      <c r="E34" s="42">
        <f t="shared" si="3"/>
        <v>-14346.800000000017</v>
      </c>
      <c r="F34" s="11">
        <f t="shared" si="4"/>
        <v>-0.1000153367817856</v>
      </c>
      <c r="G34" s="41">
        <f t="shared" si="5"/>
        <v>157792.80000000002</v>
      </c>
      <c r="H34" s="42">
        <f t="shared" si="6"/>
        <v>210000</v>
      </c>
      <c r="I34" s="42">
        <f t="shared" si="7"/>
        <v>52207.19999999998</v>
      </c>
      <c r="J34" s="403">
        <f t="shared" si="8"/>
        <v>0.2486057142857142</v>
      </c>
      <c r="K34" s="411">
        <f t="shared" si="9"/>
        <v>143446</v>
      </c>
      <c r="L34" s="42">
        <f t="shared" si="10"/>
        <v>210000</v>
      </c>
      <c r="M34" s="42">
        <f t="shared" si="11"/>
        <v>66554</v>
      </c>
      <c r="N34" s="11">
        <f t="shared" si="12"/>
        <v>0.3169238095238095</v>
      </c>
      <c r="O34" s="160">
        <v>210000</v>
      </c>
      <c r="P34" s="204">
        <f>'Est Act'!O32</f>
        <v>143446</v>
      </c>
      <c r="Q34" s="237">
        <f>'2024 Detail'!O37</f>
        <v>157792.80000000002</v>
      </c>
      <c r="R34" s="33">
        <v>97941</v>
      </c>
      <c r="S34" s="33">
        <v>94828</v>
      </c>
      <c r="T34" s="33">
        <v>100204</v>
      </c>
      <c r="U34" s="33">
        <v>109320</v>
      </c>
      <c r="V34" s="33">
        <v>104549</v>
      </c>
      <c r="W34" s="33">
        <v>122558</v>
      </c>
      <c r="X34" s="43"/>
      <c r="Y34" s="44"/>
      <c r="Z34" s="42"/>
      <c r="AA34" s="58"/>
      <c r="AC34" s="42"/>
      <c r="AD34" s="42"/>
      <c r="AE34" s="58"/>
      <c r="AF34" s="42"/>
      <c r="AG34" s="42"/>
      <c r="AH34" s="42"/>
      <c r="AI34" s="58"/>
      <c r="AJ34" s="42"/>
      <c r="AK34" s="42"/>
      <c r="AL34" s="42"/>
      <c r="AM34" s="42"/>
    </row>
    <row r="35" spans="1:39" ht="12.75" customHeight="1">
      <c r="A35" s="39"/>
      <c r="B35" s="40" t="s">
        <v>241</v>
      </c>
      <c r="C35" s="41">
        <f t="shared" si="1"/>
        <v>0</v>
      </c>
      <c r="D35" s="42">
        <f t="shared" si="2"/>
        <v>-3100</v>
      </c>
      <c r="E35" s="42"/>
      <c r="G35" s="41">
        <f t="shared" si="5"/>
        <v>0</v>
      </c>
      <c r="H35" s="42">
        <f t="shared" si="6"/>
        <v>0</v>
      </c>
      <c r="I35" s="42">
        <f t="shared" si="7"/>
        <v>0</v>
      </c>
      <c r="J35" s="403"/>
      <c r="K35" s="411">
        <f t="shared" si="9"/>
        <v>-3100</v>
      </c>
      <c r="L35" s="42">
        <f t="shared" si="10"/>
        <v>0</v>
      </c>
      <c r="M35" s="42">
        <f t="shared" si="11"/>
        <v>3100</v>
      </c>
      <c r="O35" s="169"/>
      <c r="P35" s="204">
        <f>'Est Act'!O31</f>
        <v>-3100</v>
      </c>
      <c r="Q35" s="242"/>
      <c r="R35" s="76"/>
      <c r="S35" s="76"/>
      <c r="T35" s="76"/>
      <c r="U35" s="76"/>
      <c r="V35" s="76"/>
      <c r="W35" s="76"/>
      <c r="X35" s="43"/>
      <c r="Y35" s="44"/>
      <c r="Z35" s="42"/>
      <c r="AA35" s="58"/>
      <c r="AC35" s="42"/>
      <c r="AD35" s="42"/>
      <c r="AE35" s="58"/>
      <c r="AF35" s="42"/>
      <c r="AG35" s="42"/>
      <c r="AH35" s="42"/>
      <c r="AI35" s="58"/>
      <c r="AJ35" s="42"/>
      <c r="AK35" s="42"/>
      <c r="AL35" s="42"/>
      <c r="AM35" s="42"/>
    </row>
    <row r="36" spans="1:39" ht="12.75" customHeight="1">
      <c r="A36" s="39"/>
      <c r="B36" s="40" t="s">
        <v>123</v>
      </c>
      <c r="C36" s="41">
        <f t="shared" si="1"/>
        <v>1561.9499999999996</v>
      </c>
      <c r="D36" s="42">
        <f t="shared" si="2"/>
        <v>1390</v>
      </c>
      <c r="E36" s="42">
        <f>D36-C36</f>
        <v>-171.9499999999996</v>
      </c>
      <c r="F36" s="11">
        <f>IF(D36&lt;&gt;0,E36/D36,0)</f>
        <v>-0.12370503597122273</v>
      </c>
      <c r="G36" s="41">
        <f t="shared" si="5"/>
        <v>1561.9499999999996</v>
      </c>
      <c r="H36" s="42">
        <f t="shared" si="6"/>
        <v>2284</v>
      </c>
      <c r="I36" s="42">
        <f t="shared" si="7"/>
        <v>722.0500000000004</v>
      </c>
      <c r="J36" s="403">
        <f>IF(H36&lt;&gt;0,I36/H36,0)</f>
        <v>0.3161339754816114</v>
      </c>
      <c r="K36" s="411">
        <f t="shared" si="9"/>
        <v>1390</v>
      </c>
      <c r="L36" s="42">
        <f t="shared" si="10"/>
        <v>2284</v>
      </c>
      <c r="M36" s="42">
        <f t="shared" si="11"/>
        <v>894</v>
      </c>
      <c r="N36" s="11">
        <f t="shared" si="12"/>
        <v>0.3914185639229422</v>
      </c>
      <c r="O36" s="169">
        <v>2284</v>
      </c>
      <c r="P36" s="204">
        <f>'Est Act'!O33</f>
        <v>1390</v>
      </c>
      <c r="Q36" s="242">
        <f>'2024 Detail'!O38</f>
        <v>1561.9499999999996</v>
      </c>
      <c r="R36" s="76">
        <v>2564</v>
      </c>
      <c r="S36" s="76">
        <v>4568</v>
      </c>
      <c r="T36" s="76">
        <f>4916+4680</f>
        <v>9596</v>
      </c>
      <c r="U36" s="76">
        <f>2839+4192</f>
        <v>7031</v>
      </c>
      <c r="V36" s="76">
        <v>4044</v>
      </c>
      <c r="W36" s="76">
        <v>3298</v>
      </c>
      <c r="X36" s="43"/>
      <c r="Y36" s="44"/>
      <c r="Z36" s="42"/>
      <c r="AA36" s="58"/>
      <c r="AC36" s="42"/>
      <c r="AD36" s="42"/>
      <c r="AE36" s="58"/>
      <c r="AF36" s="42"/>
      <c r="AG36" s="42"/>
      <c r="AH36" s="42"/>
      <c r="AI36" s="58"/>
      <c r="AJ36" s="42"/>
      <c r="AK36" s="42"/>
      <c r="AL36" s="42"/>
      <c r="AM36" s="42"/>
    </row>
    <row r="37" spans="1:25" s="6" customFormat="1" ht="12.75" customHeight="1">
      <c r="A37" s="39"/>
      <c r="B37" s="12" t="s">
        <v>124</v>
      </c>
      <c r="C37" s="59">
        <f>SUM(C21:C36)</f>
        <v>287339.30000000005</v>
      </c>
      <c r="D37" s="60">
        <f>SUM(D21:D36)</f>
        <v>255698</v>
      </c>
      <c r="E37" s="60">
        <f>SUM(E21:E36)</f>
        <v>-24141.75000000002</v>
      </c>
      <c r="F37" s="61">
        <f t="shared" si="4"/>
        <v>-0.0944150912404478</v>
      </c>
      <c r="G37" s="59">
        <f>SUM(G21:G36)</f>
        <v>287339.30000000005</v>
      </c>
      <c r="H37" s="60">
        <f>SUM(H21:H36)</f>
        <v>304184</v>
      </c>
      <c r="I37" s="60">
        <f>SUM(I21:I36)</f>
        <v>16844.69999999998</v>
      </c>
      <c r="J37" s="65">
        <f t="shared" si="8"/>
        <v>0.0553766799042684</v>
      </c>
      <c r="K37" s="414">
        <f>SUM(K21:K36)</f>
        <v>255698</v>
      </c>
      <c r="L37" s="60">
        <f>SUM(L21:L36)</f>
        <v>304184</v>
      </c>
      <c r="M37" s="60">
        <f>SUM(M21:M36)</f>
        <v>48486</v>
      </c>
      <c r="N37" s="61">
        <f t="shared" si="12"/>
        <v>0.1593969439549746</v>
      </c>
      <c r="O37" s="180">
        <f>SUM(O21:O36)</f>
        <v>304184</v>
      </c>
      <c r="P37" s="210">
        <f>SUM(P20:P36)</f>
        <v>255698</v>
      </c>
      <c r="Q37" s="244">
        <f>SUM(Q21:Q36)</f>
        <v>287339.30000000005</v>
      </c>
      <c r="R37" s="181">
        <f aca="true" t="shared" si="13" ref="R37:W37">SUM(R20:R36)</f>
        <v>170505</v>
      </c>
      <c r="S37" s="182">
        <f t="shared" si="13"/>
        <v>177801</v>
      </c>
      <c r="T37" s="182">
        <f t="shared" si="13"/>
        <v>174599</v>
      </c>
      <c r="U37" s="182">
        <f t="shared" si="13"/>
        <v>179334</v>
      </c>
      <c r="V37" s="182">
        <f t="shared" si="13"/>
        <v>208591</v>
      </c>
      <c r="W37" s="182">
        <f t="shared" si="13"/>
        <v>197464</v>
      </c>
      <c r="X37" s="46"/>
      <c r="Y37" s="49"/>
    </row>
    <row r="38" spans="1:39" ht="12.75" customHeight="1">
      <c r="A38" s="39"/>
      <c r="B38" s="40"/>
      <c r="C38" s="41"/>
      <c r="D38" s="42"/>
      <c r="E38" s="42"/>
      <c r="G38" s="41"/>
      <c r="H38" s="42"/>
      <c r="I38" s="42"/>
      <c r="J38" s="403"/>
      <c r="K38" s="411"/>
      <c r="L38" s="42"/>
      <c r="M38" s="42"/>
      <c r="O38" s="162"/>
      <c r="P38" s="206"/>
      <c r="Q38" s="243"/>
      <c r="R38" s="54"/>
      <c r="S38" s="54"/>
      <c r="T38" s="54"/>
      <c r="U38" s="54"/>
      <c r="V38" s="54"/>
      <c r="W38" s="54"/>
      <c r="X38" s="43"/>
      <c r="Y38" s="44"/>
      <c r="Z38" s="42"/>
      <c r="AA38" s="58"/>
      <c r="AC38" s="42"/>
      <c r="AD38" s="42"/>
      <c r="AE38" s="58"/>
      <c r="AF38" s="42"/>
      <c r="AG38" s="42"/>
      <c r="AH38" s="42"/>
      <c r="AI38" s="58"/>
      <c r="AJ38" s="42"/>
      <c r="AK38" s="42"/>
      <c r="AL38" s="42"/>
      <c r="AM38" s="42"/>
    </row>
    <row r="39" spans="1:39" ht="15.75" customHeight="1">
      <c r="A39" s="55" t="s">
        <v>125</v>
      </c>
      <c r="B39" s="40"/>
      <c r="C39" s="41"/>
      <c r="D39" s="42"/>
      <c r="E39" s="42"/>
      <c r="G39" s="41"/>
      <c r="H39" s="42"/>
      <c r="I39" s="42"/>
      <c r="J39" s="403"/>
      <c r="K39" s="411"/>
      <c r="L39" s="42"/>
      <c r="M39" s="42"/>
      <c r="O39" s="164"/>
      <c r="P39" s="208"/>
      <c r="Q39" s="241"/>
      <c r="R39" s="57"/>
      <c r="S39" s="57"/>
      <c r="T39" s="57"/>
      <c r="U39" s="57"/>
      <c r="V39" s="57"/>
      <c r="W39" s="57"/>
      <c r="X39" s="43"/>
      <c r="Y39" s="44"/>
      <c r="Z39" s="42"/>
      <c r="AA39" s="58"/>
      <c r="AC39" s="42"/>
      <c r="AD39" s="42"/>
      <c r="AE39" s="58"/>
      <c r="AF39" s="42"/>
      <c r="AG39" s="42"/>
      <c r="AH39" s="42"/>
      <c r="AI39" s="58"/>
      <c r="AJ39" s="42"/>
      <c r="AK39" s="42"/>
      <c r="AL39" s="42"/>
      <c r="AM39" s="42"/>
    </row>
    <row r="40" spans="1:39" ht="12.75" customHeight="1">
      <c r="A40" s="39"/>
      <c r="B40" s="56" t="s">
        <v>126</v>
      </c>
      <c r="C40" s="41">
        <f aca="true" t="shared" si="14" ref="C40:C51">$Q40</f>
        <v>18720</v>
      </c>
      <c r="D40" s="42">
        <f aca="true" t="shared" si="15" ref="D40:D51">$P40</f>
        <v>4386</v>
      </c>
      <c r="E40" s="42">
        <f aca="true" t="shared" si="16" ref="E40:E50">D40-C40</f>
        <v>-14334</v>
      </c>
      <c r="F40" s="11">
        <f aca="true" t="shared" si="17" ref="F40:F52">IF(D40&lt;&gt;0,E40/D40,0)</f>
        <v>-3.26812585499316</v>
      </c>
      <c r="G40" s="41">
        <f aca="true" t="shared" si="18" ref="G40:G51">$Q40</f>
        <v>18720</v>
      </c>
      <c r="H40" s="42">
        <f aca="true" t="shared" si="19" ref="H40:H51">$O40</f>
        <v>2000</v>
      </c>
      <c r="I40" s="42">
        <f aca="true" t="shared" si="20" ref="I40:I50">H40-G40</f>
        <v>-16720</v>
      </c>
      <c r="J40" s="403">
        <f aca="true" t="shared" si="21" ref="J40:J52">IF(H40&lt;&gt;0,I40/H40,0)</f>
        <v>-8.36</v>
      </c>
      <c r="K40" s="411">
        <f aca="true" t="shared" si="22" ref="K40:K51">$P40</f>
        <v>4386</v>
      </c>
      <c r="L40" s="42">
        <f aca="true" t="shared" si="23" ref="L40:L51">$O40</f>
        <v>2000</v>
      </c>
      <c r="M40" s="42">
        <f aca="true" t="shared" si="24" ref="M40:M50">L40-K40</f>
        <v>-2386</v>
      </c>
      <c r="N40" s="11">
        <f aca="true" t="shared" si="25" ref="N40:N52">IF(L40&lt;&gt;0,M40/L40,0)</f>
        <v>-1.193</v>
      </c>
      <c r="O40" s="160">
        <v>2000</v>
      </c>
      <c r="P40" s="204">
        <f>'Est Act'!O38</f>
        <v>4386</v>
      </c>
      <c r="Q40" s="237">
        <f>'2024 Detail'!O44</f>
        <v>18720</v>
      </c>
      <c r="R40" s="33">
        <v>6165</v>
      </c>
      <c r="S40" s="33">
        <v>4061</v>
      </c>
      <c r="T40" s="33">
        <v>5755</v>
      </c>
      <c r="U40" s="33">
        <v>1537</v>
      </c>
      <c r="V40" s="33">
        <v>3081</v>
      </c>
      <c r="W40" s="33">
        <v>3925</v>
      </c>
      <c r="X40" s="43"/>
      <c r="Y40" s="44"/>
      <c r="Z40" s="42"/>
      <c r="AA40" s="58"/>
      <c r="AC40" s="42"/>
      <c r="AD40" s="42"/>
      <c r="AE40" s="58"/>
      <c r="AF40" s="42"/>
      <c r="AG40" s="42"/>
      <c r="AH40" s="42"/>
      <c r="AI40" s="58"/>
      <c r="AJ40" s="42"/>
      <c r="AK40" s="42"/>
      <c r="AL40" s="42"/>
      <c r="AM40" s="42"/>
    </row>
    <row r="41" spans="1:39" ht="12.75" customHeight="1">
      <c r="A41" s="39"/>
      <c r="B41" s="56" t="s">
        <v>127</v>
      </c>
      <c r="C41" s="41">
        <f t="shared" si="14"/>
        <v>4800</v>
      </c>
      <c r="D41" s="42">
        <f t="shared" si="15"/>
        <v>5056</v>
      </c>
      <c r="E41" s="42">
        <f t="shared" si="16"/>
        <v>256</v>
      </c>
      <c r="F41" s="11">
        <f t="shared" si="17"/>
        <v>0.05063291139240506</v>
      </c>
      <c r="G41" s="41">
        <f t="shared" si="18"/>
        <v>4800</v>
      </c>
      <c r="H41" s="42">
        <f t="shared" si="19"/>
        <v>4800</v>
      </c>
      <c r="I41" s="42">
        <f t="shared" si="20"/>
        <v>0</v>
      </c>
      <c r="J41" s="403">
        <f t="shared" si="21"/>
        <v>0</v>
      </c>
      <c r="K41" s="411">
        <f t="shared" si="22"/>
        <v>5056</v>
      </c>
      <c r="L41" s="42">
        <f t="shared" si="23"/>
        <v>4800</v>
      </c>
      <c r="M41" s="42">
        <f t="shared" si="24"/>
        <v>-256</v>
      </c>
      <c r="N41" s="11">
        <f t="shared" si="25"/>
        <v>-0.05333333333333334</v>
      </c>
      <c r="O41" s="160">
        <v>4800</v>
      </c>
      <c r="P41" s="204">
        <f>'Est Act'!O39</f>
        <v>5056</v>
      </c>
      <c r="Q41" s="237">
        <f>'2024 Detail'!O45</f>
        <v>4800</v>
      </c>
      <c r="R41" s="33">
        <v>32312</v>
      </c>
      <c r="S41" s="33">
        <v>38414</v>
      </c>
      <c r="T41" s="33">
        <v>43118</v>
      </c>
      <c r="U41" s="33">
        <v>44691</v>
      </c>
      <c r="V41" s="33">
        <v>41384</v>
      </c>
      <c r="W41" s="33">
        <v>52781</v>
      </c>
      <c r="X41" s="43"/>
      <c r="Y41" s="44"/>
      <c r="Z41" s="42"/>
      <c r="AA41" s="58"/>
      <c r="AC41" s="42"/>
      <c r="AD41" s="42"/>
      <c r="AE41" s="58"/>
      <c r="AF41" s="42"/>
      <c r="AG41" s="42"/>
      <c r="AH41" s="42"/>
      <c r="AI41" s="58"/>
      <c r="AJ41" s="42"/>
      <c r="AK41" s="42"/>
      <c r="AL41" s="42"/>
      <c r="AM41" s="42"/>
    </row>
    <row r="42" spans="1:39" ht="12.75" customHeight="1">
      <c r="A42" s="39"/>
      <c r="B42" s="56" t="s">
        <v>128</v>
      </c>
      <c r="C42" s="41">
        <f t="shared" si="14"/>
        <v>90000</v>
      </c>
      <c r="D42" s="42">
        <f t="shared" si="15"/>
        <v>90000</v>
      </c>
      <c r="E42" s="42">
        <f t="shared" si="16"/>
        <v>0</v>
      </c>
      <c r="F42" s="11">
        <f t="shared" si="17"/>
        <v>0</v>
      </c>
      <c r="G42" s="41">
        <f t="shared" si="18"/>
        <v>90000</v>
      </c>
      <c r="H42" s="42">
        <f t="shared" si="19"/>
        <v>90000</v>
      </c>
      <c r="I42" s="42">
        <f t="shared" si="20"/>
        <v>0</v>
      </c>
      <c r="J42" s="403">
        <f t="shared" si="21"/>
        <v>0</v>
      </c>
      <c r="K42" s="411">
        <f t="shared" si="22"/>
        <v>90000</v>
      </c>
      <c r="L42" s="42">
        <f t="shared" si="23"/>
        <v>90000</v>
      </c>
      <c r="M42" s="42">
        <f t="shared" si="24"/>
        <v>0</v>
      </c>
      <c r="N42" s="11">
        <f t="shared" si="25"/>
        <v>0</v>
      </c>
      <c r="O42" s="160">
        <v>90000</v>
      </c>
      <c r="P42" s="204">
        <f>'Est Act'!O40</f>
        <v>90000</v>
      </c>
      <c r="Q42" s="237">
        <f>'2024 Detail'!O46</f>
        <v>90000</v>
      </c>
      <c r="R42" s="33">
        <v>21600</v>
      </c>
      <c r="S42" s="33">
        <v>21600</v>
      </c>
      <c r="T42" s="33">
        <v>21600</v>
      </c>
      <c r="U42" s="33">
        <v>21750</v>
      </c>
      <c r="V42" s="33">
        <v>22100</v>
      </c>
      <c r="W42" s="33">
        <v>22933</v>
      </c>
      <c r="X42" s="43"/>
      <c r="Y42" s="44"/>
      <c r="Z42" s="42"/>
      <c r="AA42" s="58"/>
      <c r="AC42" s="42"/>
      <c r="AD42" s="42"/>
      <c r="AE42" s="58"/>
      <c r="AF42" s="42"/>
      <c r="AG42" s="42"/>
      <c r="AH42" s="42"/>
      <c r="AI42" s="58"/>
      <c r="AJ42" s="42"/>
      <c r="AK42" s="42"/>
      <c r="AL42" s="42"/>
      <c r="AM42" s="42"/>
    </row>
    <row r="43" spans="1:39" ht="12.75" customHeight="1">
      <c r="A43" s="39"/>
      <c r="B43" s="56" t="s">
        <v>129</v>
      </c>
      <c r="C43" s="41">
        <f t="shared" si="14"/>
        <v>1200</v>
      </c>
      <c r="D43" s="42">
        <f t="shared" si="15"/>
        <v>1021</v>
      </c>
      <c r="E43" s="42">
        <f t="shared" si="16"/>
        <v>-179</v>
      </c>
      <c r="F43" s="11">
        <f t="shared" si="17"/>
        <v>-0.17531831537708129</v>
      </c>
      <c r="G43" s="41">
        <f t="shared" si="18"/>
        <v>1200</v>
      </c>
      <c r="H43" s="42">
        <f t="shared" si="19"/>
        <v>1000</v>
      </c>
      <c r="I43" s="42">
        <f t="shared" si="20"/>
        <v>-200</v>
      </c>
      <c r="J43" s="403">
        <f t="shared" si="21"/>
        <v>-0.2</v>
      </c>
      <c r="K43" s="411">
        <f t="shared" si="22"/>
        <v>1021</v>
      </c>
      <c r="L43" s="42">
        <f t="shared" si="23"/>
        <v>1000</v>
      </c>
      <c r="M43" s="42">
        <f t="shared" si="24"/>
        <v>-21</v>
      </c>
      <c r="N43" s="11">
        <f t="shared" si="25"/>
        <v>-0.021</v>
      </c>
      <c r="O43" s="160">
        <v>1000</v>
      </c>
      <c r="P43" s="204">
        <f>'Est Act'!O41</f>
        <v>1021</v>
      </c>
      <c r="Q43" s="237">
        <f>'2024 Detail'!O47</f>
        <v>1200</v>
      </c>
      <c r="R43" s="33">
        <v>562</v>
      </c>
      <c r="S43" s="33">
        <v>382</v>
      </c>
      <c r="T43" s="33">
        <v>404</v>
      </c>
      <c r="U43" s="33">
        <v>425</v>
      </c>
      <c r="V43" s="33">
        <v>529</v>
      </c>
      <c r="W43" s="33">
        <v>515</v>
      </c>
      <c r="X43" s="43"/>
      <c r="Y43" s="44"/>
      <c r="Z43" s="42"/>
      <c r="AA43" s="58"/>
      <c r="AC43" s="42"/>
      <c r="AD43" s="42"/>
      <c r="AE43" s="58"/>
      <c r="AF43" s="42"/>
      <c r="AG43" s="42"/>
      <c r="AH43" s="42"/>
      <c r="AI43" s="58"/>
      <c r="AJ43" s="42"/>
      <c r="AK43" s="42"/>
      <c r="AL43" s="42"/>
      <c r="AM43" s="42"/>
    </row>
    <row r="44" spans="1:39" ht="12.75" customHeight="1">
      <c r="A44" s="39"/>
      <c r="B44" s="56" t="s">
        <v>130</v>
      </c>
      <c r="C44" s="41">
        <f t="shared" si="14"/>
        <v>0</v>
      </c>
      <c r="D44" s="42">
        <f t="shared" si="15"/>
        <v>500</v>
      </c>
      <c r="E44" s="42">
        <f t="shared" si="16"/>
        <v>500</v>
      </c>
      <c r="F44" s="11">
        <f t="shared" si="17"/>
        <v>1</v>
      </c>
      <c r="G44" s="41">
        <f t="shared" si="18"/>
        <v>0</v>
      </c>
      <c r="H44" s="42">
        <f t="shared" si="19"/>
        <v>1200</v>
      </c>
      <c r="I44" s="42">
        <f t="shared" si="20"/>
        <v>1200</v>
      </c>
      <c r="J44" s="403">
        <f t="shared" si="21"/>
        <v>1</v>
      </c>
      <c r="K44" s="411">
        <f t="shared" si="22"/>
        <v>500</v>
      </c>
      <c r="L44" s="42">
        <f t="shared" si="23"/>
        <v>1200</v>
      </c>
      <c r="M44" s="42">
        <f t="shared" si="24"/>
        <v>700</v>
      </c>
      <c r="N44" s="11">
        <f t="shared" si="25"/>
        <v>0.5833333333333334</v>
      </c>
      <c r="O44" s="160">
        <v>1200</v>
      </c>
      <c r="P44" s="204">
        <f>'Est Act'!O42</f>
        <v>500</v>
      </c>
      <c r="Q44" s="237">
        <f>'2024 Detail'!O48</f>
        <v>0</v>
      </c>
      <c r="R44" s="33">
        <v>1141</v>
      </c>
      <c r="S44" s="33">
        <v>973</v>
      </c>
      <c r="T44" s="33">
        <v>244</v>
      </c>
      <c r="U44" s="33">
        <v>451</v>
      </c>
      <c r="V44" s="33">
        <v>682</v>
      </c>
      <c r="W44" s="33">
        <v>0</v>
      </c>
      <c r="X44" s="43"/>
      <c r="Y44" s="44"/>
      <c r="Z44" s="42"/>
      <c r="AA44" s="58"/>
      <c r="AC44" s="42"/>
      <c r="AD44" s="42"/>
      <c r="AE44" s="58"/>
      <c r="AF44" s="42"/>
      <c r="AG44" s="42"/>
      <c r="AH44" s="42"/>
      <c r="AI44" s="58"/>
      <c r="AJ44" s="42"/>
      <c r="AK44" s="42"/>
      <c r="AL44" s="42"/>
      <c r="AM44" s="42"/>
    </row>
    <row r="45" spans="1:39" ht="12.75" customHeight="1">
      <c r="A45" s="39"/>
      <c r="B45" s="56" t="s">
        <v>131</v>
      </c>
      <c r="C45" s="41">
        <f t="shared" si="14"/>
        <v>0</v>
      </c>
      <c r="D45" s="42">
        <f t="shared" si="15"/>
        <v>635</v>
      </c>
      <c r="E45" s="42">
        <f t="shared" si="16"/>
        <v>635</v>
      </c>
      <c r="F45" s="11">
        <f t="shared" si="17"/>
        <v>1</v>
      </c>
      <c r="G45" s="41">
        <f t="shared" si="18"/>
        <v>0</v>
      </c>
      <c r="H45" s="42">
        <f t="shared" si="19"/>
        <v>1200</v>
      </c>
      <c r="I45" s="42">
        <f t="shared" si="20"/>
        <v>1200</v>
      </c>
      <c r="J45" s="403">
        <f t="shared" si="21"/>
        <v>1</v>
      </c>
      <c r="K45" s="411">
        <f t="shared" si="22"/>
        <v>635</v>
      </c>
      <c r="L45" s="42">
        <f t="shared" si="23"/>
        <v>1200</v>
      </c>
      <c r="M45" s="42">
        <f t="shared" si="24"/>
        <v>565</v>
      </c>
      <c r="N45" s="11">
        <f t="shared" si="25"/>
        <v>0.4708333333333333</v>
      </c>
      <c r="O45" s="160">
        <v>1200</v>
      </c>
      <c r="P45" s="204">
        <f>'Est Act'!O43</f>
        <v>635</v>
      </c>
      <c r="Q45" s="237">
        <f>'2024 Detail'!O49</f>
        <v>0</v>
      </c>
      <c r="R45" s="33">
        <v>-178</v>
      </c>
      <c r="S45" s="33">
        <v>338</v>
      </c>
      <c r="T45" s="33">
        <f>490+2</f>
        <v>492</v>
      </c>
      <c r="U45" s="33">
        <v>4742</v>
      </c>
      <c r="V45" s="33">
        <v>1955</v>
      </c>
      <c r="W45" s="33">
        <v>2129</v>
      </c>
      <c r="X45" s="43"/>
      <c r="Y45" s="44"/>
      <c r="Z45" s="42"/>
      <c r="AA45" s="58"/>
      <c r="AC45" s="42"/>
      <c r="AD45" s="42"/>
      <c r="AE45" s="58"/>
      <c r="AF45" s="42"/>
      <c r="AG45" s="42"/>
      <c r="AH45" s="42"/>
      <c r="AI45" s="58"/>
      <c r="AJ45" s="42"/>
      <c r="AK45" s="42"/>
      <c r="AL45" s="42"/>
      <c r="AM45" s="42"/>
    </row>
    <row r="46" spans="1:39" ht="12.75" customHeight="1">
      <c r="A46" s="39"/>
      <c r="B46" s="56" t="s">
        <v>132</v>
      </c>
      <c r="C46" s="41">
        <f t="shared" si="14"/>
        <v>6000</v>
      </c>
      <c r="D46" s="42">
        <f t="shared" si="15"/>
        <v>1396</v>
      </c>
      <c r="E46" s="42">
        <f t="shared" si="16"/>
        <v>-4604</v>
      </c>
      <c r="F46" s="11">
        <f t="shared" si="17"/>
        <v>-3.297994269340974</v>
      </c>
      <c r="G46" s="41">
        <f t="shared" si="18"/>
        <v>6000</v>
      </c>
      <c r="H46" s="42">
        <f t="shared" si="19"/>
        <v>10200</v>
      </c>
      <c r="I46" s="42">
        <f t="shared" si="20"/>
        <v>4200</v>
      </c>
      <c r="J46" s="403">
        <f t="shared" si="21"/>
        <v>0.4117647058823529</v>
      </c>
      <c r="K46" s="411">
        <f t="shared" si="22"/>
        <v>1396</v>
      </c>
      <c r="L46" s="42">
        <f t="shared" si="23"/>
        <v>10200</v>
      </c>
      <c r="M46" s="42">
        <f t="shared" si="24"/>
        <v>8804</v>
      </c>
      <c r="N46" s="11">
        <f t="shared" si="25"/>
        <v>0.8631372549019608</v>
      </c>
      <c r="O46" s="160">
        <v>10200</v>
      </c>
      <c r="P46" s="204">
        <f>'Est Act'!O44</f>
        <v>1396</v>
      </c>
      <c r="Q46" s="237">
        <f>'2024 Detail'!O50</f>
        <v>6000</v>
      </c>
      <c r="R46" s="33">
        <v>10244</v>
      </c>
      <c r="S46" s="33">
        <v>4371</v>
      </c>
      <c r="T46" s="33">
        <v>5871</v>
      </c>
      <c r="U46" s="33">
        <v>7244</v>
      </c>
      <c r="V46" s="33">
        <v>7401</v>
      </c>
      <c r="W46" s="33">
        <v>9714</v>
      </c>
      <c r="X46" s="43"/>
      <c r="Y46" s="44"/>
      <c r="Z46" s="42"/>
      <c r="AA46" s="58"/>
      <c r="AC46" s="42"/>
      <c r="AD46" s="42"/>
      <c r="AE46" s="58"/>
      <c r="AF46" s="42"/>
      <c r="AG46" s="42"/>
      <c r="AH46" s="42"/>
      <c r="AI46" s="58"/>
      <c r="AJ46" s="42"/>
      <c r="AK46" s="42"/>
      <c r="AL46" s="42"/>
      <c r="AM46" s="42"/>
    </row>
    <row r="47" spans="1:39" ht="12.75" customHeight="1">
      <c r="A47" s="39"/>
      <c r="B47" s="56" t="s">
        <v>133</v>
      </c>
      <c r="C47" s="41">
        <f t="shared" si="14"/>
        <v>6000</v>
      </c>
      <c r="D47" s="42">
        <f t="shared" si="15"/>
        <v>9680</v>
      </c>
      <c r="E47" s="42">
        <f t="shared" si="16"/>
        <v>3680</v>
      </c>
      <c r="F47" s="11">
        <f t="shared" si="17"/>
        <v>0.38016528925619836</v>
      </c>
      <c r="G47" s="41">
        <f t="shared" si="18"/>
        <v>6000</v>
      </c>
      <c r="H47" s="42">
        <f t="shared" si="19"/>
        <v>12000</v>
      </c>
      <c r="I47" s="42">
        <f t="shared" si="20"/>
        <v>6000</v>
      </c>
      <c r="J47" s="403">
        <f t="shared" si="21"/>
        <v>0.5</v>
      </c>
      <c r="K47" s="411">
        <f t="shared" si="22"/>
        <v>9680</v>
      </c>
      <c r="L47" s="42">
        <f t="shared" si="23"/>
        <v>12000</v>
      </c>
      <c r="M47" s="42">
        <f t="shared" si="24"/>
        <v>2320</v>
      </c>
      <c r="N47" s="11">
        <f t="shared" si="25"/>
        <v>0.19333333333333333</v>
      </c>
      <c r="O47" s="160">
        <v>12000</v>
      </c>
      <c r="P47" s="204">
        <f>'Est Act'!O45</f>
        <v>9680</v>
      </c>
      <c r="Q47" s="237">
        <f>'2024 Detail'!O51</f>
        <v>6000</v>
      </c>
      <c r="R47" s="33">
        <v>25244</v>
      </c>
      <c r="S47" s="33">
        <v>19093</v>
      </c>
      <c r="T47" s="33">
        <v>20640</v>
      </c>
      <c r="U47" s="33">
        <v>19739</v>
      </c>
      <c r="V47" s="33">
        <v>20354</v>
      </c>
      <c r="W47" s="33">
        <v>20141</v>
      </c>
      <c r="X47" s="43"/>
      <c r="Y47" s="44"/>
      <c r="Z47" s="42"/>
      <c r="AA47" s="58"/>
      <c r="AC47" s="42"/>
      <c r="AD47" s="42"/>
      <c r="AE47" s="58"/>
      <c r="AF47" s="42"/>
      <c r="AG47" s="42"/>
      <c r="AH47" s="42"/>
      <c r="AI47" s="58"/>
      <c r="AJ47" s="42"/>
      <c r="AK47" s="42"/>
      <c r="AL47" s="42"/>
      <c r="AM47" s="42"/>
    </row>
    <row r="48" spans="1:39" ht="12.75" customHeight="1">
      <c r="A48" s="39"/>
      <c r="B48" s="56" t="s">
        <v>134</v>
      </c>
      <c r="C48" s="41">
        <f t="shared" si="14"/>
        <v>3000</v>
      </c>
      <c r="D48" s="42">
        <f t="shared" si="15"/>
        <v>3440</v>
      </c>
      <c r="E48" s="42">
        <f t="shared" si="16"/>
        <v>440</v>
      </c>
      <c r="F48" s="11">
        <f t="shared" si="17"/>
        <v>0.12790697674418605</v>
      </c>
      <c r="G48" s="41">
        <f t="shared" si="18"/>
        <v>3000</v>
      </c>
      <c r="H48" s="42">
        <f t="shared" si="19"/>
        <v>3000</v>
      </c>
      <c r="I48" s="42">
        <f t="shared" si="20"/>
        <v>0</v>
      </c>
      <c r="J48" s="403">
        <f t="shared" si="21"/>
        <v>0</v>
      </c>
      <c r="K48" s="411">
        <f t="shared" si="22"/>
        <v>3440</v>
      </c>
      <c r="L48" s="42">
        <f t="shared" si="23"/>
        <v>3000</v>
      </c>
      <c r="M48" s="42">
        <f t="shared" si="24"/>
        <v>-440</v>
      </c>
      <c r="N48" s="11">
        <f t="shared" si="25"/>
        <v>-0.14666666666666667</v>
      </c>
      <c r="O48" s="160">
        <v>3000</v>
      </c>
      <c r="P48" s="204">
        <f>'Est Act'!O46</f>
        <v>3440</v>
      </c>
      <c r="Q48" s="237">
        <f>'2024 Detail'!O53</f>
        <v>3000</v>
      </c>
      <c r="R48" s="33">
        <v>4472</v>
      </c>
      <c r="S48" s="33">
        <v>2901</v>
      </c>
      <c r="T48" s="33">
        <v>1689</v>
      </c>
      <c r="U48" s="33">
        <v>2157</v>
      </c>
      <c r="V48" s="33">
        <v>1556</v>
      </c>
      <c r="W48" s="33">
        <v>1864</v>
      </c>
      <c r="X48" s="43"/>
      <c r="Y48" s="44"/>
      <c r="Z48" s="42"/>
      <c r="AA48" s="58"/>
      <c r="AC48" s="42"/>
      <c r="AD48" s="42"/>
      <c r="AE48" s="58"/>
      <c r="AF48" s="42"/>
      <c r="AG48" s="42"/>
      <c r="AH48" s="42"/>
      <c r="AI48" s="58"/>
      <c r="AJ48" s="42"/>
      <c r="AK48" s="42"/>
      <c r="AL48" s="42"/>
      <c r="AM48" s="42"/>
    </row>
    <row r="49" spans="1:39" ht="12.75" customHeight="1">
      <c r="A49" s="39"/>
      <c r="B49" s="56" t="s">
        <v>418</v>
      </c>
      <c r="C49" s="41">
        <f t="shared" si="14"/>
        <v>1020</v>
      </c>
      <c r="D49" s="42">
        <f t="shared" si="15"/>
        <v>425</v>
      </c>
      <c r="E49" s="42">
        <f t="shared" si="16"/>
        <v>-595</v>
      </c>
      <c r="F49" s="11">
        <f t="shared" si="17"/>
        <v>-1.4</v>
      </c>
      <c r="G49" s="41">
        <f t="shared" si="18"/>
        <v>1020</v>
      </c>
      <c r="H49" s="42">
        <f t="shared" si="19"/>
        <v>1020</v>
      </c>
      <c r="I49" s="42">
        <f t="shared" si="20"/>
        <v>0</v>
      </c>
      <c r="J49" s="403">
        <f t="shared" si="21"/>
        <v>0</v>
      </c>
      <c r="K49" s="411">
        <f t="shared" si="22"/>
        <v>425</v>
      </c>
      <c r="L49" s="42">
        <f t="shared" si="23"/>
        <v>1020</v>
      </c>
      <c r="M49" s="42">
        <f t="shared" si="24"/>
        <v>595</v>
      </c>
      <c r="N49" s="11">
        <f t="shared" si="25"/>
        <v>0.5833333333333334</v>
      </c>
      <c r="O49" s="160">
        <v>1020</v>
      </c>
      <c r="P49" s="204">
        <f>'Est Act'!O47</f>
        <v>425</v>
      </c>
      <c r="Q49" s="237">
        <f>'2024 Detail'!O54</f>
        <v>1020</v>
      </c>
      <c r="R49" s="33">
        <v>2646</v>
      </c>
      <c r="S49" s="33">
        <v>357</v>
      </c>
      <c r="T49" s="33">
        <v>535</v>
      </c>
      <c r="U49" s="33">
        <v>1330</v>
      </c>
      <c r="V49" s="33">
        <v>1363</v>
      </c>
      <c r="W49" s="33">
        <v>779</v>
      </c>
      <c r="X49" s="43"/>
      <c r="Y49" s="44"/>
      <c r="Z49" s="42"/>
      <c r="AA49" s="58"/>
      <c r="AC49" s="42"/>
      <c r="AD49" s="42"/>
      <c r="AE49" s="58"/>
      <c r="AF49" s="42"/>
      <c r="AG49" s="42"/>
      <c r="AH49" s="42"/>
      <c r="AI49" s="58"/>
      <c r="AJ49" s="42"/>
      <c r="AK49" s="42"/>
      <c r="AL49" s="42"/>
      <c r="AM49" s="42"/>
    </row>
    <row r="50" spans="1:39" ht="12.75" customHeight="1">
      <c r="A50" s="39"/>
      <c r="B50" s="56" t="s">
        <v>135</v>
      </c>
      <c r="C50" s="41">
        <f t="shared" si="14"/>
        <v>353068</v>
      </c>
      <c r="D50" s="42">
        <f t="shared" si="15"/>
        <v>338532</v>
      </c>
      <c r="E50" s="42">
        <f t="shared" si="16"/>
        <v>-14536</v>
      </c>
      <c r="F50" s="11">
        <f t="shared" si="17"/>
        <v>-0.042938333746883606</v>
      </c>
      <c r="G50" s="41">
        <f t="shared" si="18"/>
        <v>353068</v>
      </c>
      <c r="H50" s="42">
        <f t="shared" si="19"/>
        <v>336000</v>
      </c>
      <c r="I50" s="42">
        <f t="shared" si="20"/>
        <v>-17068</v>
      </c>
      <c r="J50" s="403">
        <f t="shared" si="21"/>
        <v>-0.05079761904761905</v>
      </c>
      <c r="K50" s="411">
        <f t="shared" si="22"/>
        <v>338532</v>
      </c>
      <c r="L50" s="42">
        <f t="shared" si="23"/>
        <v>336000</v>
      </c>
      <c r="M50" s="42">
        <f t="shared" si="24"/>
        <v>-2532</v>
      </c>
      <c r="N50" s="11">
        <f t="shared" si="25"/>
        <v>-0.007535714285714285</v>
      </c>
      <c r="O50" s="160">
        <v>336000</v>
      </c>
      <c r="P50" s="204">
        <f>'Est Act'!O48</f>
        <v>338532</v>
      </c>
      <c r="Q50" s="237">
        <f>'2024 Detail'!O55</f>
        <v>353068</v>
      </c>
      <c r="R50" s="33">
        <v>28704</v>
      </c>
      <c r="S50" s="33">
        <v>20161</v>
      </c>
      <c r="T50" s="33">
        <v>21190</v>
      </c>
      <c r="U50" s="33">
        <v>27991</v>
      </c>
      <c r="V50" s="33">
        <v>21013</v>
      </c>
      <c r="W50" s="33">
        <v>22627</v>
      </c>
      <c r="X50" s="43"/>
      <c r="Y50" s="44"/>
      <c r="Z50" s="42"/>
      <c r="AA50" s="58"/>
      <c r="AC50" s="42"/>
      <c r="AD50" s="42"/>
      <c r="AE50" s="58"/>
      <c r="AF50" s="42"/>
      <c r="AG50" s="42"/>
      <c r="AH50" s="42"/>
      <c r="AI50" s="58"/>
      <c r="AJ50" s="42"/>
      <c r="AK50" s="42"/>
      <c r="AL50" s="42"/>
      <c r="AM50" s="42"/>
    </row>
    <row r="51" spans="1:39" ht="12.75" customHeight="1">
      <c r="A51" s="39"/>
      <c r="B51" s="56" t="s">
        <v>136</v>
      </c>
      <c r="C51" s="41">
        <f t="shared" si="14"/>
        <v>1200</v>
      </c>
      <c r="D51" s="42">
        <f t="shared" si="15"/>
        <v>1202</v>
      </c>
      <c r="E51" s="42">
        <f>D51-C51</f>
        <v>2</v>
      </c>
      <c r="F51" s="11">
        <f>IF(D51&lt;&gt;0,E51/D51,0)</f>
        <v>0.0016638935108153079</v>
      </c>
      <c r="G51" s="41">
        <f t="shared" si="18"/>
        <v>1200</v>
      </c>
      <c r="H51" s="42">
        <f t="shared" si="19"/>
        <v>4800</v>
      </c>
      <c r="I51" s="42">
        <f>H51-G51</f>
        <v>3600</v>
      </c>
      <c r="J51" s="403">
        <f>IF(H51&lt;&gt;0,I51/H51,0)</f>
        <v>0.75</v>
      </c>
      <c r="K51" s="411">
        <f t="shared" si="22"/>
        <v>1202</v>
      </c>
      <c r="L51" s="42">
        <f t="shared" si="23"/>
        <v>4800</v>
      </c>
      <c r="M51" s="42">
        <f>L51-K51</f>
        <v>3598</v>
      </c>
      <c r="N51" s="11">
        <f>IF(L51&lt;&gt;0,M51/L51,0)</f>
        <v>0.7495833333333334</v>
      </c>
      <c r="O51" s="160">
        <v>4800</v>
      </c>
      <c r="P51" s="204">
        <f>'Est Act'!O49</f>
        <v>1202</v>
      </c>
      <c r="Q51" s="237">
        <f>'2024 Detail'!O56</f>
        <v>1200</v>
      </c>
      <c r="R51" s="33">
        <v>33468</v>
      </c>
      <c r="S51" s="33">
        <v>40128</v>
      </c>
      <c r="T51" s="33">
        <v>34610</v>
      </c>
      <c r="U51" s="33">
        <v>35103</v>
      </c>
      <c r="V51" s="33">
        <v>30125</v>
      </c>
      <c r="W51" s="33">
        <v>45783</v>
      </c>
      <c r="X51" s="43"/>
      <c r="Y51" s="44"/>
      <c r="Z51" s="42"/>
      <c r="AA51" s="58"/>
      <c r="AC51" s="42"/>
      <c r="AD51" s="42"/>
      <c r="AE51" s="58"/>
      <c r="AF51" s="42"/>
      <c r="AG51" s="42"/>
      <c r="AH51" s="42"/>
      <c r="AI51" s="58"/>
      <c r="AJ51" s="42"/>
      <c r="AK51" s="42"/>
      <c r="AL51" s="42"/>
      <c r="AM51" s="42"/>
    </row>
    <row r="52" spans="2:39" s="6" customFormat="1" ht="12.75" customHeight="1">
      <c r="B52" s="12" t="s">
        <v>137</v>
      </c>
      <c r="C52" s="63">
        <f>SUM(C40:C51)</f>
        <v>485008</v>
      </c>
      <c r="D52" s="64">
        <f>SUM(D40:D51)</f>
        <v>456273</v>
      </c>
      <c r="E52" s="64">
        <f>SUM(E40:E51)</f>
        <v>-28735</v>
      </c>
      <c r="F52" s="65">
        <f t="shared" si="17"/>
        <v>-0.06297764715422564</v>
      </c>
      <c r="G52" s="63">
        <f>SUM(G40:G51)</f>
        <v>485008</v>
      </c>
      <c r="H52" s="64">
        <f>SUM(H40:H51)</f>
        <v>467220</v>
      </c>
      <c r="I52" s="64">
        <f>SUM(I40:I51)</f>
        <v>-17788</v>
      </c>
      <c r="J52" s="65">
        <f t="shared" si="21"/>
        <v>-0.0380720003424511</v>
      </c>
      <c r="K52" s="415">
        <f>SUM(K40:K51)</f>
        <v>456273</v>
      </c>
      <c r="L52" s="64">
        <f>SUM(L40:L51)</f>
        <v>467220</v>
      </c>
      <c r="M52" s="64">
        <f>SUM(M40:M51)</f>
        <v>10947</v>
      </c>
      <c r="N52" s="65">
        <f t="shared" si="25"/>
        <v>0.023430075767304482</v>
      </c>
      <c r="O52" s="165">
        <f aca="true" t="shared" si="26" ref="O52:W52">SUM(O40:O51)</f>
        <v>467220</v>
      </c>
      <c r="P52" s="211">
        <f t="shared" si="26"/>
        <v>456273</v>
      </c>
      <c r="Q52" s="245">
        <f t="shared" si="26"/>
        <v>485008</v>
      </c>
      <c r="R52" s="66">
        <f t="shared" si="26"/>
        <v>166380</v>
      </c>
      <c r="S52" s="66">
        <f t="shared" si="26"/>
        <v>152779</v>
      </c>
      <c r="T52" s="66">
        <f t="shared" si="26"/>
        <v>156148</v>
      </c>
      <c r="U52" s="66">
        <f t="shared" si="26"/>
        <v>167160</v>
      </c>
      <c r="V52" s="66">
        <f t="shared" si="26"/>
        <v>151543</v>
      </c>
      <c r="W52" s="66">
        <f t="shared" si="26"/>
        <v>183191</v>
      </c>
      <c r="X52" s="48"/>
      <c r="Y52" s="44"/>
      <c r="Z52" s="46"/>
      <c r="AA52" s="67"/>
      <c r="AC52" s="46"/>
      <c r="AD52" s="46"/>
      <c r="AE52" s="67"/>
      <c r="AF52" s="46"/>
      <c r="AG52" s="46"/>
      <c r="AH52" s="46"/>
      <c r="AI52" s="67"/>
      <c r="AJ52" s="46"/>
      <c r="AK52" s="46"/>
      <c r="AL52" s="46"/>
      <c r="AM52" s="46"/>
    </row>
    <row r="53" spans="3:39" ht="10.5" customHeight="1">
      <c r="C53" s="41" t="s">
        <v>138</v>
      </c>
      <c r="D53" s="42"/>
      <c r="E53" s="42"/>
      <c r="G53" s="41" t="s">
        <v>138</v>
      </c>
      <c r="H53" s="42"/>
      <c r="I53" s="42"/>
      <c r="J53" s="403"/>
      <c r="K53" s="411"/>
      <c r="L53" s="42"/>
      <c r="M53" s="42"/>
      <c r="O53" s="163"/>
      <c r="P53" s="207"/>
      <c r="Q53" s="243"/>
      <c r="R53" s="43"/>
      <c r="S53" s="43"/>
      <c r="T53" s="43"/>
      <c r="U53" s="43"/>
      <c r="V53" s="43"/>
      <c r="W53" s="43"/>
      <c r="X53" s="43"/>
      <c r="Y53" s="44"/>
      <c r="Z53" s="42"/>
      <c r="AA53" s="58"/>
      <c r="AC53" s="42"/>
      <c r="AD53" s="42"/>
      <c r="AE53" s="58"/>
      <c r="AF53" s="42"/>
      <c r="AG53" s="42"/>
      <c r="AH53" s="42"/>
      <c r="AI53" s="58"/>
      <c r="AJ53" s="42"/>
      <c r="AK53" s="42"/>
      <c r="AL53" s="42"/>
      <c r="AM53" s="42"/>
    </row>
    <row r="54" spans="1:39" ht="15.75" customHeight="1">
      <c r="A54" s="12" t="s">
        <v>71</v>
      </c>
      <c r="C54" s="41"/>
      <c r="D54" s="42"/>
      <c r="E54" s="42"/>
      <c r="G54" s="41"/>
      <c r="H54" s="42"/>
      <c r="I54" s="42"/>
      <c r="J54" s="403"/>
      <c r="K54" s="411"/>
      <c r="L54" s="42"/>
      <c r="M54" s="42"/>
      <c r="O54" s="163"/>
      <c r="P54" s="207"/>
      <c r="Q54" s="241"/>
      <c r="R54" s="43"/>
      <c r="S54" s="43"/>
      <c r="T54" s="43"/>
      <c r="U54" s="43"/>
      <c r="V54" s="43"/>
      <c r="W54" s="43"/>
      <c r="X54" s="43"/>
      <c r="Y54" s="44"/>
      <c r="Z54" s="42"/>
      <c r="AA54" s="58"/>
      <c r="AC54" s="42"/>
      <c r="AD54" s="42"/>
      <c r="AE54" s="58"/>
      <c r="AF54" s="42"/>
      <c r="AG54" s="42"/>
      <c r="AH54" s="42"/>
      <c r="AI54" s="58"/>
      <c r="AJ54" s="42"/>
      <c r="AK54" s="42"/>
      <c r="AL54" s="42"/>
      <c r="AM54" s="42"/>
    </row>
    <row r="55" spans="1:39" ht="12.75" customHeight="1">
      <c r="A55" s="39"/>
      <c r="B55" s="56" t="s">
        <v>139</v>
      </c>
      <c r="C55" s="41">
        <f>$Q55</f>
        <v>78000</v>
      </c>
      <c r="D55" s="42">
        <f>$P55</f>
        <v>80275</v>
      </c>
      <c r="E55" s="42">
        <f>D55-C55</f>
        <v>2275</v>
      </c>
      <c r="F55" s="11">
        <f aca="true" t="shared" si="27" ref="F55:F60">IF(D55&lt;&gt;0,E55/D55,0)</f>
        <v>0.02834008097165992</v>
      </c>
      <c r="G55" s="41">
        <f>$Q55</f>
        <v>78000</v>
      </c>
      <c r="H55" s="42">
        <f>$O55</f>
        <v>62400</v>
      </c>
      <c r="I55" s="42">
        <f>H55-G55</f>
        <v>-15600</v>
      </c>
      <c r="J55" s="403">
        <f aca="true" t="shared" si="28" ref="J55:J60">IF(H55&lt;&gt;0,I55/H55,0)</f>
        <v>-0.25</v>
      </c>
      <c r="K55" s="411">
        <f>$P55</f>
        <v>80275</v>
      </c>
      <c r="L55" s="42">
        <f>$O55</f>
        <v>62400</v>
      </c>
      <c r="M55" s="42">
        <f>L55-K55</f>
        <v>-17875</v>
      </c>
      <c r="N55" s="11">
        <f aca="true" t="shared" si="29" ref="N55:N60">IF(L55&lt;&gt;0,M55/L55,0)</f>
        <v>-0.2864583333333333</v>
      </c>
      <c r="O55" s="160">
        <v>62400</v>
      </c>
      <c r="P55" s="204">
        <f>'Est Act'!O54</f>
        <v>80275</v>
      </c>
      <c r="Q55" s="237">
        <f>'2024 Detail'!O63</f>
        <v>78000</v>
      </c>
      <c r="R55" s="33">
        <v>31326</v>
      </c>
      <c r="S55" s="33">
        <v>32866</v>
      </c>
      <c r="T55" s="33">
        <v>33677</v>
      </c>
      <c r="U55" s="33">
        <v>34137</v>
      </c>
      <c r="V55" s="33">
        <v>35794</v>
      </c>
      <c r="W55" s="33">
        <v>36939</v>
      </c>
      <c r="X55" s="43"/>
      <c r="Y55" s="44"/>
      <c r="Z55" s="42"/>
      <c r="AA55" s="58"/>
      <c r="AC55" s="42"/>
      <c r="AD55" s="42"/>
      <c r="AE55" s="58"/>
      <c r="AF55" s="42"/>
      <c r="AG55" s="42"/>
      <c r="AH55" s="42"/>
      <c r="AI55" s="58"/>
      <c r="AJ55" s="42"/>
      <c r="AK55" s="42"/>
      <c r="AL55" s="42"/>
      <c r="AM55" s="42"/>
    </row>
    <row r="56" spans="1:39" ht="12.75" customHeight="1">
      <c r="A56" s="39"/>
      <c r="B56" s="56" t="s">
        <v>140</v>
      </c>
      <c r="C56" s="41">
        <f>$Q56</f>
        <v>138074</v>
      </c>
      <c r="D56" s="42">
        <f>$P56</f>
        <v>125804</v>
      </c>
      <c r="E56" s="42">
        <f>D56-C56</f>
        <v>-12270</v>
      </c>
      <c r="F56" s="11">
        <f t="shared" si="27"/>
        <v>-0.0975326698674128</v>
      </c>
      <c r="G56" s="41">
        <f>$Q56</f>
        <v>138074</v>
      </c>
      <c r="H56" s="42">
        <f>$O56</f>
        <v>127901</v>
      </c>
      <c r="I56" s="42">
        <f>H56-G56</f>
        <v>-10173</v>
      </c>
      <c r="J56" s="403">
        <f t="shared" si="28"/>
        <v>-0.07953808023393093</v>
      </c>
      <c r="K56" s="411">
        <f>$P56</f>
        <v>125804</v>
      </c>
      <c r="L56" s="42">
        <f>$O56</f>
        <v>127901</v>
      </c>
      <c r="M56" s="42">
        <f>L56-K56</f>
        <v>2097</v>
      </c>
      <c r="N56" s="11">
        <f t="shared" si="29"/>
        <v>0.016395493389418377</v>
      </c>
      <c r="O56" s="160">
        <v>127901</v>
      </c>
      <c r="P56" s="204">
        <f>'Est Act'!O55</f>
        <v>125804</v>
      </c>
      <c r="Q56" s="237">
        <f>'2024 Detail'!O64</f>
        <v>138074</v>
      </c>
      <c r="R56" s="68">
        <v>83967</v>
      </c>
      <c r="S56" s="68">
        <v>89936</v>
      </c>
      <c r="T56" s="68">
        <v>105898</v>
      </c>
      <c r="U56" s="68">
        <v>99744</v>
      </c>
      <c r="V56" s="68">
        <v>86218</v>
      </c>
      <c r="W56" s="68">
        <v>101614</v>
      </c>
      <c r="X56" s="43"/>
      <c r="Y56" s="44"/>
      <c r="Z56" s="42"/>
      <c r="AA56" s="58"/>
      <c r="AC56" s="42"/>
      <c r="AD56" s="42"/>
      <c r="AE56" s="58"/>
      <c r="AF56" s="42"/>
      <c r="AG56" s="42"/>
      <c r="AH56" s="42"/>
      <c r="AI56" s="58"/>
      <c r="AJ56" s="42"/>
      <c r="AK56" s="42"/>
      <c r="AL56" s="42"/>
      <c r="AM56" s="42"/>
    </row>
    <row r="57" spans="1:39" ht="12.75" customHeight="1">
      <c r="A57" s="39"/>
      <c r="B57" s="56" t="s">
        <v>141</v>
      </c>
      <c r="C57" s="41">
        <f>$Q57</f>
        <v>72000</v>
      </c>
      <c r="D57" s="42">
        <f>$P57</f>
        <v>60904</v>
      </c>
      <c r="E57" s="42">
        <f>D57-C57</f>
        <v>-11096</v>
      </c>
      <c r="F57" s="11">
        <f t="shared" si="27"/>
        <v>-0.1821883620123473</v>
      </c>
      <c r="G57" s="41">
        <f>$Q57</f>
        <v>72000</v>
      </c>
      <c r="H57" s="42">
        <f>$O57</f>
        <v>57600</v>
      </c>
      <c r="I57" s="42">
        <f>H57-G57</f>
        <v>-14400</v>
      </c>
      <c r="J57" s="403">
        <f t="shared" si="28"/>
        <v>-0.25</v>
      </c>
      <c r="K57" s="411">
        <f>$P57</f>
        <v>60904</v>
      </c>
      <c r="L57" s="42">
        <f>$O57</f>
        <v>57600</v>
      </c>
      <c r="M57" s="42">
        <f>L57-K57</f>
        <v>-3304</v>
      </c>
      <c r="N57" s="11">
        <f t="shared" si="29"/>
        <v>-0.05736111111111111</v>
      </c>
      <c r="O57" s="160">
        <v>57600</v>
      </c>
      <c r="P57" s="204">
        <f>'Est Act'!O56</f>
        <v>60904</v>
      </c>
      <c r="Q57" s="237">
        <f>'2024 Detail'!O65</f>
        <v>72000</v>
      </c>
      <c r="R57" s="68">
        <v>39857</v>
      </c>
      <c r="S57" s="68">
        <v>39214</v>
      </c>
      <c r="T57" s="68">
        <v>40730</v>
      </c>
      <c r="U57" s="68">
        <v>42185</v>
      </c>
      <c r="V57" s="68">
        <v>43915</v>
      </c>
      <c r="W57" s="68">
        <v>45033</v>
      </c>
      <c r="X57" s="43"/>
      <c r="Y57" s="44"/>
      <c r="Z57" s="42"/>
      <c r="AA57" s="58"/>
      <c r="AC57" s="42"/>
      <c r="AD57" s="42"/>
      <c r="AE57" s="58"/>
      <c r="AF57" s="42"/>
      <c r="AG57" s="42"/>
      <c r="AH57" s="42"/>
      <c r="AI57" s="58"/>
      <c r="AJ57" s="42"/>
      <c r="AK57" s="42"/>
      <c r="AL57" s="42"/>
      <c r="AM57" s="42"/>
    </row>
    <row r="58" spans="1:39" ht="12.75" customHeight="1">
      <c r="A58" s="39"/>
      <c r="B58" s="56" t="s">
        <v>142</v>
      </c>
      <c r="C58" s="41">
        <f>$Q58</f>
        <v>191827</v>
      </c>
      <c r="D58" s="42">
        <f>$P58</f>
        <v>191559</v>
      </c>
      <c r="E58" s="42">
        <f>D58-C58</f>
        <v>-268</v>
      </c>
      <c r="F58" s="11">
        <f t="shared" si="27"/>
        <v>-0.001399046768880606</v>
      </c>
      <c r="G58" s="41">
        <f>$Q58</f>
        <v>191827</v>
      </c>
      <c r="H58" s="42">
        <f>$O58</f>
        <v>137836</v>
      </c>
      <c r="I58" s="42">
        <f>H58-G58</f>
        <v>-53991</v>
      </c>
      <c r="J58" s="403">
        <f t="shared" si="28"/>
        <v>-0.3917046344931658</v>
      </c>
      <c r="K58" s="411">
        <f>$P58</f>
        <v>191559</v>
      </c>
      <c r="L58" s="42">
        <f>$O58</f>
        <v>137836</v>
      </c>
      <c r="M58" s="42">
        <f>L58-K58</f>
        <v>-53723</v>
      </c>
      <c r="N58" s="11">
        <f t="shared" si="29"/>
        <v>-0.38976029484314695</v>
      </c>
      <c r="O58" s="160">
        <v>137836</v>
      </c>
      <c r="P58" s="204">
        <f>'Est Act'!O57</f>
        <v>191559</v>
      </c>
      <c r="Q58" s="237">
        <f>'2024 Detail'!O66</f>
        <v>191827</v>
      </c>
      <c r="R58" s="68">
        <v>73580</v>
      </c>
      <c r="S58" s="68">
        <v>64963</v>
      </c>
      <c r="T58" s="68">
        <v>64666</v>
      </c>
      <c r="U58" s="68">
        <v>65853</v>
      </c>
      <c r="V58" s="68">
        <v>65885</v>
      </c>
      <c r="W58" s="68">
        <v>54383</v>
      </c>
      <c r="X58" s="43"/>
      <c r="Y58" s="44"/>
      <c r="Z58" s="42"/>
      <c r="AA58" s="58"/>
      <c r="AC58" s="42"/>
      <c r="AD58" s="42"/>
      <c r="AE58" s="58"/>
      <c r="AF58" s="42"/>
      <c r="AG58" s="42"/>
      <c r="AH58" s="42"/>
      <c r="AI58" s="58"/>
      <c r="AJ58" s="42"/>
      <c r="AK58" s="42"/>
      <c r="AL58" s="42"/>
      <c r="AM58" s="42"/>
    </row>
    <row r="59" spans="1:39" ht="12.75" customHeight="1" thickBot="1">
      <c r="A59" s="39"/>
      <c r="B59" s="56" t="s">
        <v>143</v>
      </c>
      <c r="C59" s="41">
        <f>$Q59</f>
        <v>134202</v>
      </c>
      <c r="D59" s="42">
        <f>$P59</f>
        <v>127470</v>
      </c>
      <c r="E59" s="42">
        <f>D59-C59</f>
        <v>-6732</v>
      </c>
      <c r="F59" s="11">
        <f t="shared" si="27"/>
        <v>-0.05281242645328313</v>
      </c>
      <c r="G59" s="41">
        <f>$Q59</f>
        <v>134202</v>
      </c>
      <c r="H59" s="42">
        <f>$O59</f>
        <v>131645.49999999997</v>
      </c>
      <c r="I59" s="42">
        <f>H59-G59</f>
        <v>-2556.500000000029</v>
      </c>
      <c r="J59" s="403">
        <f t="shared" si="28"/>
        <v>-0.019419577577661443</v>
      </c>
      <c r="K59" s="411">
        <f>$P59</f>
        <v>127470</v>
      </c>
      <c r="L59" s="42">
        <f>$O59</f>
        <v>131645.49999999997</v>
      </c>
      <c r="M59" s="42">
        <f>L59-K59</f>
        <v>4175.499999999971</v>
      </c>
      <c r="N59" s="11">
        <f t="shared" si="29"/>
        <v>0.031717757158429054</v>
      </c>
      <c r="O59" s="160">
        <v>131645.49999999997</v>
      </c>
      <c r="P59" s="204">
        <f>'Est Act'!O58</f>
        <v>127470</v>
      </c>
      <c r="Q59" s="237">
        <f>'2024 Detail'!O67</f>
        <v>134202</v>
      </c>
      <c r="R59" s="68">
        <v>62836</v>
      </c>
      <c r="S59" s="68">
        <v>57364</v>
      </c>
      <c r="T59" s="68">
        <v>64857</v>
      </c>
      <c r="U59" s="68">
        <v>68468</v>
      </c>
      <c r="V59" s="68">
        <v>72801</v>
      </c>
      <c r="W59" s="68">
        <v>75242</v>
      </c>
      <c r="X59" s="43"/>
      <c r="Y59" s="44"/>
      <c r="Z59" s="42"/>
      <c r="AA59" s="58"/>
      <c r="AC59" s="42"/>
      <c r="AD59" s="42"/>
      <c r="AE59" s="58"/>
      <c r="AF59" s="42"/>
      <c r="AG59" s="42"/>
      <c r="AH59" s="42"/>
      <c r="AI59" s="58"/>
      <c r="AJ59" s="42"/>
      <c r="AK59" s="42"/>
      <c r="AL59" s="42"/>
      <c r="AM59" s="42"/>
    </row>
    <row r="60" spans="2:39" s="6" customFormat="1" ht="12.75" customHeight="1">
      <c r="B60" s="12" t="s">
        <v>144</v>
      </c>
      <c r="C60" s="63">
        <f>SUM(C55:C59)</f>
        <v>614103</v>
      </c>
      <c r="D60" s="64">
        <f>SUM(D55:D59)</f>
        <v>586012</v>
      </c>
      <c r="E60" s="60">
        <f>SUM(E55:E59)</f>
        <v>-28091</v>
      </c>
      <c r="F60" s="65">
        <f t="shared" si="27"/>
        <v>-0.04793587844617516</v>
      </c>
      <c r="G60" s="63">
        <f>SUM(G55:G59)</f>
        <v>614103</v>
      </c>
      <c r="H60" s="64">
        <f>SUM(H55:H59)</f>
        <v>517382.5</v>
      </c>
      <c r="I60" s="60">
        <f>SUM(I55:I59)</f>
        <v>-96720.50000000003</v>
      </c>
      <c r="J60" s="65">
        <f t="shared" si="28"/>
        <v>-0.18694196266785218</v>
      </c>
      <c r="K60" s="415">
        <f>SUM(K55:K59)</f>
        <v>586012</v>
      </c>
      <c r="L60" s="64">
        <f>SUM(L55:L59)</f>
        <v>517382.5</v>
      </c>
      <c r="M60" s="60">
        <f>SUM(M55:M59)</f>
        <v>-68629.50000000003</v>
      </c>
      <c r="N60" s="65">
        <f t="shared" si="29"/>
        <v>-0.13264750933786904</v>
      </c>
      <c r="O60" s="166">
        <f aca="true" t="shared" si="30" ref="O60:W60">SUM(O55:O59)</f>
        <v>517382.5</v>
      </c>
      <c r="P60" s="212">
        <f t="shared" si="30"/>
        <v>586012</v>
      </c>
      <c r="Q60" s="246">
        <f t="shared" si="30"/>
        <v>614103</v>
      </c>
      <c r="R60" s="69">
        <f t="shared" si="30"/>
        <v>291566</v>
      </c>
      <c r="S60" s="69">
        <f t="shared" si="30"/>
        <v>284343</v>
      </c>
      <c r="T60" s="69">
        <f t="shared" si="30"/>
        <v>309828</v>
      </c>
      <c r="U60" s="69">
        <f t="shared" si="30"/>
        <v>310387</v>
      </c>
      <c r="V60" s="69">
        <f t="shared" si="30"/>
        <v>304613</v>
      </c>
      <c r="W60" s="69">
        <f t="shared" si="30"/>
        <v>313211</v>
      </c>
      <c r="X60" s="48"/>
      <c r="Y60" s="44"/>
      <c r="Z60" s="46"/>
      <c r="AA60" s="67"/>
      <c r="AC60" s="46"/>
      <c r="AD60" s="46"/>
      <c r="AE60" s="67"/>
      <c r="AF60" s="46"/>
      <c r="AG60" s="46"/>
      <c r="AH60" s="46"/>
      <c r="AI60" s="67"/>
      <c r="AJ60" s="46"/>
      <c r="AK60" s="46"/>
      <c r="AL60" s="46"/>
      <c r="AM60" s="46"/>
    </row>
    <row r="61" spans="3:39" ht="10.5" customHeight="1">
      <c r="C61" s="41"/>
      <c r="D61" s="42"/>
      <c r="E61" s="42"/>
      <c r="G61" s="41"/>
      <c r="H61" s="42"/>
      <c r="I61" s="42"/>
      <c r="J61" s="403"/>
      <c r="K61" s="411"/>
      <c r="L61" s="42"/>
      <c r="M61" s="42"/>
      <c r="O61" s="163"/>
      <c r="P61" s="207"/>
      <c r="Q61" s="243"/>
      <c r="R61" s="43"/>
      <c r="S61" s="43"/>
      <c r="T61" s="43"/>
      <c r="U61" s="43"/>
      <c r="V61" s="43"/>
      <c r="W61" s="43"/>
      <c r="X61" s="43"/>
      <c r="Y61" s="44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s="6" customFormat="1" ht="17.25" customHeight="1">
      <c r="A62" s="70" t="s">
        <v>145</v>
      </c>
      <c r="B62" s="12"/>
      <c r="C62" s="29">
        <f>C37+C52+C60</f>
        <v>1386450.3</v>
      </c>
      <c r="D62" s="30">
        <f>+D37+D52+D60</f>
        <v>1297983</v>
      </c>
      <c r="E62" s="30">
        <f>E37+E52+E60</f>
        <v>-80967.75000000001</v>
      </c>
      <c r="F62" s="32">
        <f>IF(D62&lt;&gt;0,E62/D62,0)</f>
        <v>-0.062379669071166585</v>
      </c>
      <c r="G62" s="29">
        <f>G37+G52+G60</f>
        <v>1386450.3</v>
      </c>
      <c r="H62" s="30">
        <f>+H37+H52+H60</f>
        <v>1288786.5</v>
      </c>
      <c r="I62" s="30">
        <f>I37+I52+I60</f>
        <v>-97663.80000000005</v>
      </c>
      <c r="J62" s="31">
        <f>IF(H62&lt;&gt;0,I62/H62,0)</f>
        <v>-0.07577965784092248</v>
      </c>
      <c r="K62" s="409">
        <f>K37+K52+K60</f>
        <v>1297983</v>
      </c>
      <c r="L62" s="30">
        <f>+L37+L52+L60</f>
        <v>1288786.5</v>
      </c>
      <c r="M62" s="30">
        <f>M37+M52+M60</f>
        <v>-9196.50000000003</v>
      </c>
      <c r="N62" s="31">
        <f>IF(L62&lt;&gt;0,M62/L62,0)</f>
        <v>-0.007135782381333161</v>
      </c>
      <c r="O62" s="223">
        <f>O60+O52+O37</f>
        <v>1288786.5</v>
      </c>
      <c r="P62" s="224">
        <f>P60+P52+P37</f>
        <v>1297983</v>
      </c>
      <c r="Q62" s="247">
        <f>Q60+Q52+Q37</f>
        <v>1386450.3</v>
      </c>
      <c r="R62" s="71" t="e">
        <f>#REF!+R60+R52+R37</f>
        <v>#REF!</v>
      </c>
      <c r="S62" s="71" t="e">
        <f>#REF!+S60+S52+S37</f>
        <v>#REF!</v>
      </c>
      <c r="T62" s="71" t="e">
        <f>#REF!+T60+T52+T37</f>
        <v>#REF!</v>
      </c>
      <c r="U62" s="71" t="e">
        <f>#REF!+U60+U52+U37</f>
        <v>#REF!</v>
      </c>
      <c r="V62" s="71" t="e">
        <f>#REF!+V60+V52+V37</f>
        <v>#REF!</v>
      </c>
      <c r="W62" s="71" t="e">
        <f>#REF!+W60+W52+W37</f>
        <v>#REF!</v>
      </c>
      <c r="X62" s="46"/>
      <c r="Y62" s="49"/>
      <c r="Z62" s="46"/>
      <c r="AA62" s="67"/>
      <c r="AC62" s="46"/>
      <c r="AD62" s="46"/>
      <c r="AE62" s="67"/>
      <c r="AF62" s="46"/>
      <c r="AG62" s="46"/>
      <c r="AH62" s="46"/>
      <c r="AI62" s="67"/>
      <c r="AJ62" s="46"/>
      <c r="AK62" s="46"/>
      <c r="AL62" s="46"/>
      <c r="AM62" s="46"/>
    </row>
    <row r="63" spans="1:39" s="6" customFormat="1" ht="16.5" customHeight="1">
      <c r="A63" s="10"/>
      <c r="B63" s="12"/>
      <c r="C63" s="45"/>
      <c r="D63" s="46"/>
      <c r="E63" s="46"/>
      <c r="F63" s="9"/>
      <c r="G63" s="45"/>
      <c r="H63" s="46"/>
      <c r="I63" s="46"/>
      <c r="J63" s="404"/>
      <c r="K63" s="412"/>
      <c r="L63" s="46"/>
      <c r="M63" s="46"/>
      <c r="N63" s="9"/>
      <c r="O63" s="168"/>
      <c r="P63" s="214"/>
      <c r="Q63" s="248"/>
      <c r="R63" s="48"/>
      <c r="S63" s="48"/>
      <c r="T63" s="48"/>
      <c r="U63" s="48"/>
      <c r="V63" s="48"/>
      <c r="W63" s="48"/>
      <c r="X63" s="48"/>
      <c r="Y63" s="49"/>
      <c r="Z63" s="46"/>
      <c r="AA63" s="67"/>
      <c r="AC63" s="46"/>
      <c r="AD63" s="46"/>
      <c r="AE63" s="67"/>
      <c r="AF63" s="46"/>
      <c r="AG63" s="46"/>
      <c r="AH63" s="46"/>
      <c r="AI63" s="67"/>
      <c r="AJ63" s="46"/>
      <c r="AK63" s="46"/>
      <c r="AL63" s="46"/>
      <c r="AM63" s="46"/>
    </row>
    <row r="64" spans="1:39" s="6" customFormat="1" ht="19.5" customHeight="1" thickBot="1">
      <c r="A64" s="70" t="s">
        <v>239</v>
      </c>
      <c r="B64" s="12"/>
      <c r="C64" s="72">
        <f>C7+C16-C62</f>
        <v>17000</v>
      </c>
      <c r="D64" s="73">
        <f>D7+D16-D62</f>
        <v>11179</v>
      </c>
      <c r="E64" s="73">
        <f>D64-C64</f>
        <v>-5821</v>
      </c>
      <c r="F64" s="74">
        <f>IF(D64&lt;&gt;0,E64/D64,0)</f>
        <v>-0.5207084712407192</v>
      </c>
      <c r="G64" s="72">
        <f>G16-G62</f>
        <v>8500</v>
      </c>
      <c r="H64" s="73">
        <f>H7+H16-H62</f>
        <v>20000</v>
      </c>
      <c r="I64" s="73">
        <f>H64-G64</f>
        <v>11500</v>
      </c>
      <c r="J64" s="75">
        <f>IF(H64&lt;&gt;0,I64/H64,0)</f>
        <v>0.575</v>
      </c>
      <c r="K64" s="416">
        <f>K7+K16-K62</f>
        <v>11179</v>
      </c>
      <c r="L64" s="73">
        <f>L7+L16-L62</f>
        <v>20000</v>
      </c>
      <c r="M64" s="73">
        <f>L64-K64</f>
        <v>8821</v>
      </c>
      <c r="N64" s="75">
        <f>IF(L64&lt;&gt;0,M64/L64,0)</f>
        <v>0.44105</v>
      </c>
      <c r="O64" s="225">
        <f>O16+-O62</f>
        <v>20000</v>
      </c>
      <c r="P64" s="226">
        <f>P7+P16-P62</f>
        <v>11179</v>
      </c>
      <c r="Q64" s="364">
        <f>Q16-Q62</f>
        <v>8500</v>
      </c>
      <c r="R64" s="71" t="e">
        <f aca="true" t="shared" si="31" ref="R64:W64">R7+R16-R62</f>
        <v>#REF!</v>
      </c>
      <c r="S64" s="71" t="e">
        <f t="shared" si="31"/>
        <v>#REF!</v>
      </c>
      <c r="T64" s="71" t="e">
        <f t="shared" si="31"/>
        <v>#REF!</v>
      </c>
      <c r="U64" s="71" t="e">
        <f t="shared" si="31"/>
        <v>#REF!</v>
      </c>
      <c r="V64" s="71" t="e">
        <f t="shared" si="31"/>
        <v>#REF!</v>
      </c>
      <c r="W64" s="71" t="e">
        <f t="shared" si="31"/>
        <v>#REF!</v>
      </c>
      <c r="X64" s="48"/>
      <c r="Y64" s="49"/>
      <c r="Z64" s="46"/>
      <c r="AA64" s="67"/>
      <c r="AC64" s="46"/>
      <c r="AD64" s="46"/>
      <c r="AE64" s="67"/>
      <c r="AF64" s="46"/>
      <c r="AG64" s="46"/>
      <c r="AH64" s="46"/>
      <c r="AI64" s="67"/>
      <c r="AJ64" s="46"/>
      <c r="AK64" s="46"/>
      <c r="AL64" s="46"/>
      <c r="AM64" s="46"/>
    </row>
    <row r="65" spans="1:39" s="6" customFormat="1" ht="10.5" customHeight="1" thickTop="1">
      <c r="A65" s="10"/>
      <c r="B65" s="12"/>
      <c r="C65" s="45"/>
      <c r="D65" s="46"/>
      <c r="E65" s="46"/>
      <c r="F65" s="9"/>
      <c r="G65" s="45"/>
      <c r="H65" s="46"/>
      <c r="I65" s="46"/>
      <c r="J65" s="404"/>
      <c r="K65" s="412"/>
      <c r="L65" s="46"/>
      <c r="M65" s="46"/>
      <c r="N65" s="9"/>
      <c r="O65" s="168"/>
      <c r="P65" s="214"/>
      <c r="Q65" s="248"/>
      <c r="R65" s="48"/>
      <c r="S65" s="48"/>
      <c r="T65" s="48"/>
      <c r="U65" s="48"/>
      <c r="V65" s="48"/>
      <c r="W65" s="48"/>
      <c r="X65" s="48"/>
      <c r="Y65" s="49"/>
      <c r="Z65" s="46"/>
      <c r="AA65" s="67"/>
      <c r="AC65" s="46"/>
      <c r="AD65" s="46"/>
      <c r="AE65" s="67"/>
      <c r="AF65" s="46"/>
      <c r="AG65" s="46"/>
      <c r="AH65" s="46"/>
      <c r="AI65" s="67"/>
      <c r="AJ65" s="46"/>
      <c r="AK65" s="46"/>
      <c r="AL65" s="46"/>
      <c r="AM65" s="46"/>
    </row>
    <row r="66" spans="1:25" s="6" customFormat="1" ht="13.5" customHeight="1">
      <c r="A66" s="27" t="s">
        <v>146</v>
      </c>
      <c r="B66" s="12"/>
      <c r="C66" s="45"/>
      <c r="D66" s="46"/>
      <c r="E66" s="46"/>
      <c r="F66" s="9"/>
      <c r="G66" s="45"/>
      <c r="H66" s="46"/>
      <c r="I66" s="46"/>
      <c r="J66" s="404"/>
      <c r="K66" s="412"/>
      <c r="L66" s="46"/>
      <c r="M66" s="46"/>
      <c r="N66" s="9"/>
      <c r="O66" s="168"/>
      <c r="P66" s="214"/>
      <c r="Q66" s="248"/>
      <c r="R66" s="48"/>
      <c r="S66" s="48"/>
      <c r="T66" s="48"/>
      <c r="U66" s="48"/>
      <c r="V66" s="48"/>
      <c r="W66" s="48"/>
      <c r="X66" s="48"/>
      <c r="Y66" s="49"/>
    </row>
    <row r="67" spans="1:25" s="6" customFormat="1" ht="3.75" customHeight="1">
      <c r="A67" s="38"/>
      <c r="B67" s="12"/>
      <c r="C67" s="45"/>
      <c r="D67" s="46"/>
      <c r="E67" s="46"/>
      <c r="F67" s="9"/>
      <c r="G67" s="45"/>
      <c r="H67" s="46"/>
      <c r="I67" s="46"/>
      <c r="J67" s="404"/>
      <c r="K67" s="412"/>
      <c r="L67" s="46"/>
      <c r="M67" s="46"/>
      <c r="N67" s="9"/>
      <c r="O67" s="168"/>
      <c r="P67" s="214"/>
      <c r="Q67" s="248"/>
      <c r="R67" s="48"/>
      <c r="S67" s="48"/>
      <c r="T67" s="48"/>
      <c r="U67" s="48"/>
      <c r="V67" s="48"/>
      <c r="W67" s="48"/>
      <c r="X67" s="48"/>
      <c r="Y67" s="49"/>
    </row>
    <row r="68" spans="1:25" ht="12" customHeight="1">
      <c r="A68" s="39"/>
      <c r="B68" s="40" t="s">
        <v>147</v>
      </c>
      <c r="C68" s="41">
        <f>$Q68</f>
        <v>288000</v>
      </c>
      <c r="D68" s="42">
        <f>$P68</f>
        <v>264000</v>
      </c>
      <c r="E68" s="42">
        <f>C68-D68</f>
        <v>24000</v>
      </c>
      <c r="F68" s="11">
        <f>IF(D68&lt;&gt;0,E68/D68,0)</f>
        <v>0.09090909090909091</v>
      </c>
      <c r="G68" s="41">
        <f>$Q68</f>
        <v>288000</v>
      </c>
      <c r="H68" s="42">
        <f>$O68</f>
        <v>264000</v>
      </c>
      <c r="I68" s="42">
        <f>G68-H68</f>
        <v>24000</v>
      </c>
      <c r="J68" s="403">
        <f>IF(H68&lt;&gt;0,I68/H68,0)</f>
        <v>0.09090909090909091</v>
      </c>
      <c r="K68" s="411">
        <f>$P68</f>
        <v>264000</v>
      </c>
      <c r="L68" s="42">
        <f>O68</f>
        <v>264000</v>
      </c>
      <c r="M68" s="42">
        <f>K68-L68</f>
        <v>0</v>
      </c>
      <c r="N68" s="11">
        <f>IF(L68&lt;&gt;0,M68/L68,0)</f>
        <v>0</v>
      </c>
      <c r="O68" s="169">
        <v>264000</v>
      </c>
      <c r="P68" s="308">
        <v>264000</v>
      </c>
      <c r="Q68" s="242">
        <f>'2024 Detail'!O80</f>
        <v>288000</v>
      </c>
      <c r="R68" s="76">
        <v>55785</v>
      </c>
      <c r="S68" s="76">
        <v>71490</v>
      </c>
      <c r="T68" s="76">
        <v>79999</v>
      </c>
      <c r="U68" s="76">
        <v>84181</v>
      </c>
      <c r="V68" s="76">
        <v>88194</v>
      </c>
      <c r="W68" s="76">
        <v>126000</v>
      </c>
      <c r="X68" s="43"/>
      <c r="Y68" s="44"/>
    </row>
    <row r="69" spans="1:25" ht="12" customHeight="1">
      <c r="A69" s="39"/>
      <c r="B69" s="40" t="s">
        <v>148</v>
      </c>
      <c r="C69" s="41">
        <f>$Q69</f>
        <v>0</v>
      </c>
      <c r="D69" s="42">
        <f>$P69</f>
        <v>0</v>
      </c>
      <c r="E69" s="42">
        <f>C69-D69</f>
        <v>0</v>
      </c>
      <c r="F69" s="11">
        <f>IF(D69&lt;&gt;0,E69/D69,0)</f>
        <v>0</v>
      </c>
      <c r="G69" s="41">
        <f>$Q69</f>
        <v>0</v>
      </c>
      <c r="H69" s="42">
        <f>$O69</f>
        <v>0</v>
      </c>
      <c r="I69" s="42">
        <f>G69-H69</f>
        <v>0</v>
      </c>
      <c r="J69" s="403">
        <f>IF(H69&lt;&gt;0,I69/H69,0)</f>
        <v>0</v>
      </c>
      <c r="K69" s="411">
        <f>$P69</f>
        <v>0</v>
      </c>
      <c r="L69" s="42">
        <f>$O69</f>
        <v>0</v>
      </c>
      <c r="M69" s="42">
        <f>K69-L69</f>
        <v>0</v>
      </c>
      <c r="N69" s="11">
        <f>IF(L69&lt;&gt;0,M69/L69,0)</f>
        <v>0</v>
      </c>
      <c r="O69" s="169"/>
      <c r="P69" s="394"/>
      <c r="Q69" s="242"/>
      <c r="R69" s="76"/>
      <c r="S69" s="76"/>
      <c r="T69" s="76"/>
      <c r="U69" s="76"/>
      <c r="V69" s="76"/>
      <c r="W69" s="76"/>
      <c r="X69" s="43"/>
      <c r="Y69" s="44"/>
    </row>
    <row r="70" spans="1:25" s="6" customFormat="1" ht="12.75" customHeight="1">
      <c r="A70" s="39"/>
      <c r="B70" s="12" t="s">
        <v>149</v>
      </c>
      <c r="C70" s="29">
        <f>SUM(C68:C69)</f>
        <v>288000</v>
      </c>
      <c r="D70" s="30">
        <f>SUM(D68:D69)</f>
        <v>264000</v>
      </c>
      <c r="E70" s="30">
        <f>SUM(E68:E69)</f>
        <v>24000</v>
      </c>
      <c r="F70" s="32">
        <f>IF(D70&lt;&gt;0,E70/D70,0)</f>
        <v>0.09090909090909091</v>
      </c>
      <c r="G70" s="29">
        <f>SUM(G68:G69)</f>
        <v>288000</v>
      </c>
      <c r="H70" s="30">
        <f>SUM(H68:H69)</f>
        <v>264000</v>
      </c>
      <c r="I70" s="30">
        <f>SUM(I68:I69)</f>
        <v>24000</v>
      </c>
      <c r="J70" s="31">
        <f>IF(H70&lt;&gt;0,I70/H70,0)</f>
        <v>0.09090909090909091</v>
      </c>
      <c r="K70" s="409">
        <f>SUM(K68:K69)</f>
        <v>264000</v>
      </c>
      <c r="L70" s="30">
        <f>SUM(L68:L69)</f>
        <v>264000</v>
      </c>
      <c r="M70" s="30">
        <f>SUM(M68:M69)</f>
        <v>0</v>
      </c>
      <c r="N70" s="32">
        <f>IF(L70&lt;&gt;0,M70/L70,0)</f>
        <v>0</v>
      </c>
      <c r="O70" s="229">
        <f aca="true" t="shared" si="32" ref="O70:W70">SUM(O68:O69)</f>
        <v>264000</v>
      </c>
      <c r="P70" s="231">
        <f t="shared" si="32"/>
        <v>264000</v>
      </c>
      <c r="Q70" s="247">
        <f t="shared" si="32"/>
        <v>288000</v>
      </c>
      <c r="R70" s="62">
        <f t="shared" si="32"/>
        <v>55785</v>
      </c>
      <c r="S70" s="62">
        <f t="shared" si="32"/>
        <v>71490</v>
      </c>
      <c r="T70" s="62">
        <f t="shared" si="32"/>
        <v>79999</v>
      </c>
      <c r="U70" s="62">
        <f t="shared" si="32"/>
        <v>84181</v>
      </c>
      <c r="V70" s="62">
        <f t="shared" si="32"/>
        <v>88194</v>
      </c>
      <c r="W70" s="62">
        <f t="shared" si="32"/>
        <v>126000</v>
      </c>
      <c r="X70" s="46"/>
      <c r="Y70" s="49"/>
    </row>
    <row r="71" spans="1:25" s="6" customFormat="1" ht="9" customHeight="1">
      <c r="A71" s="39"/>
      <c r="B71" s="12"/>
      <c r="C71" s="45"/>
      <c r="D71" s="46"/>
      <c r="E71" s="46"/>
      <c r="F71" s="9"/>
      <c r="G71" s="45"/>
      <c r="H71" s="46"/>
      <c r="I71" s="46"/>
      <c r="J71" s="404"/>
      <c r="K71" s="412"/>
      <c r="L71" s="46"/>
      <c r="M71" s="46"/>
      <c r="N71" s="9"/>
      <c r="O71" s="170"/>
      <c r="P71" s="215"/>
      <c r="Q71" s="250"/>
      <c r="R71" s="77"/>
      <c r="S71" s="77"/>
      <c r="T71" s="77"/>
      <c r="U71" s="77"/>
      <c r="V71" s="77"/>
      <c r="W71" s="77"/>
      <c r="X71" s="48"/>
      <c r="Y71" s="49"/>
    </row>
    <row r="72" spans="1:39" s="6" customFormat="1" ht="18" customHeight="1">
      <c r="A72" s="70" t="s">
        <v>150</v>
      </c>
      <c r="B72" s="12"/>
      <c r="C72" s="45"/>
      <c r="D72" s="46"/>
      <c r="E72" s="46"/>
      <c r="F72" s="9"/>
      <c r="G72" s="45"/>
      <c r="H72" s="46"/>
      <c r="I72" s="46"/>
      <c r="J72" s="404"/>
      <c r="K72" s="412"/>
      <c r="L72" s="46"/>
      <c r="M72" s="46"/>
      <c r="N72" s="9"/>
      <c r="O72" s="168"/>
      <c r="P72" s="214"/>
      <c r="Q72" s="248"/>
      <c r="R72" s="48"/>
      <c r="S72" s="48"/>
      <c r="T72" s="48"/>
      <c r="U72" s="48"/>
      <c r="V72" s="48"/>
      <c r="W72" s="48"/>
      <c r="X72" s="48"/>
      <c r="Y72" s="49"/>
      <c r="Z72" s="46"/>
      <c r="AA72" s="67"/>
      <c r="AC72" s="46"/>
      <c r="AD72" s="46"/>
      <c r="AE72" s="67"/>
      <c r="AF72" s="46"/>
      <c r="AG72" s="46"/>
      <c r="AH72" s="46"/>
      <c r="AI72" s="67"/>
      <c r="AJ72" s="46"/>
      <c r="AK72" s="46"/>
      <c r="AL72" s="46"/>
      <c r="AM72" s="46"/>
    </row>
    <row r="73" spans="2:39" s="6" customFormat="1" ht="9" customHeight="1">
      <c r="B73" s="12"/>
      <c r="C73" s="45"/>
      <c r="D73" s="46"/>
      <c r="E73" s="46"/>
      <c r="F73" s="9"/>
      <c r="G73" s="45"/>
      <c r="H73" s="46"/>
      <c r="I73" s="46"/>
      <c r="J73" s="404"/>
      <c r="K73" s="412"/>
      <c r="L73" s="46"/>
      <c r="M73" s="46"/>
      <c r="N73" s="9"/>
      <c r="O73" s="168"/>
      <c r="P73" s="214"/>
      <c r="Q73" s="251"/>
      <c r="R73" s="48"/>
      <c r="S73" s="48"/>
      <c r="T73" s="48"/>
      <c r="U73" s="48"/>
      <c r="V73" s="48"/>
      <c r="W73" s="48"/>
      <c r="X73" s="48"/>
      <c r="Y73" s="49"/>
      <c r="Z73" s="46"/>
      <c r="AA73" s="67"/>
      <c r="AC73" s="46"/>
      <c r="AD73" s="46"/>
      <c r="AE73" s="67"/>
      <c r="AF73" s="46"/>
      <c r="AG73" s="46"/>
      <c r="AH73" s="46"/>
      <c r="AI73" s="67"/>
      <c r="AJ73" s="46"/>
      <c r="AK73" s="46"/>
      <c r="AL73" s="46"/>
      <c r="AM73" s="46"/>
    </row>
    <row r="74" spans="1:39" ht="12" customHeight="1">
      <c r="A74" s="39"/>
      <c r="B74" s="56" t="s">
        <v>151</v>
      </c>
      <c r="C74" s="41">
        <f>$Q74</f>
        <v>2260</v>
      </c>
      <c r="D74" s="42">
        <f>$P74</f>
        <v>2260</v>
      </c>
      <c r="E74" s="42">
        <f>D74-C74</f>
        <v>0</v>
      </c>
      <c r="F74" s="11">
        <f>IF(D74&lt;&gt;0,E74/D74,0)</f>
        <v>0</v>
      </c>
      <c r="G74" s="41">
        <f>$Q74</f>
        <v>2260</v>
      </c>
      <c r="H74" s="42">
        <f>$O74</f>
        <v>1800</v>
      </c>
      <c r="I74" s="42">
        <f>H74-G74</f>
        <v>-460</v>
      </c>
      <c r="J74" s="403">
        <f>IF(H74&lt;&gt;0,I74/H74,0)</f>
        <v>-0.25555555555555554</v>
      </c>
      <c r="K74" s="411">
        <f>$P74</f>
        <v>2260</v>
      </c>
      <c r="L74" s="42">
        <f>$O74</f>
        <v>1800</v>
      </c>
      <c r="M74" s="42">
        <f>L74-K74</f>
        <v>-460</v>
      </c>
      <c r="N74" s="11">
        <f>IF(L74&lt;&gt;0,M74/L74,0)</f>
        <v>-0.25555555555555554</v>
      </c>
      <c r="O74" s="169">
        <v>1800</v>
      </c>
      <c r="P74" s="209">
        <f>'Est Act'!O85</f>
        <v>2260</v>
      </c>
      <c r="Q74" s="237">
        <f>'2024 Detail'!O89</f>
        <v>2260</v>
      </c>
      <c r="R74" s="33">
        <v>1675</v>
      </c>
      <c r="S74" s="33"/>
      <c r="T74" s="33"/>
      <c r="U74" s="33"/>
      <c r="V74" s="33">
        <v>2600</v>
      </c>
      <c r="W74" s="33">
        <v>725</v>
      </c>
      <c r="X74" s="43"/>
      <c r="Y74" s="44"/>
      <c r="Z74" s="42"/>
      <c r="AA74" s="58"/>
      <c r="AC74" s="42"/>
      <c r="AD74" s="42"/>
      <c r="AE74" s="58"/>
      <c r="AF74" s="42"/>
      <c r="AG74" s="42"/>
      <c r="AH74" s="42"/>
      <c r="AI74" s="58"/>
      <c r="AJ74" s="42"/>
      <c r="AK74" s="42"/>
      <c r="AL74" s="42"/>
      <c r="AM74" s="42"/>
    </row>
    <row r="75" spans="1:39" ht="12" customHeight="1">
      <c r="A75" s="316"/>
      <c r="B75" s="56" t="s">
        <v>465</v>
      </c>
      <c r="C75" s="41">
        <f aca="true" t="shared" si="33" ref="C75:C91">$Q75</f>
        <v>0</v>
      </c>
      <c r="D75" s="42">
        <f aca="true" t="shared" si="34" ref="D75:D89">$P75</f>
        <v>3193</v>
      </c>
      <c r="E75" s="42">
        <f aca="true" t="shared" si="35" ref="E75:E89">D75-C75</f>
        <v>3193</v>
      </c>
      <c r="F75" s="11">
        <f aca="true" t="shared" si="36" ref="F75:F89">IF(D75&lt;&gt;0,E75/D75,0)</f>
        <v>1</v>
      </c>
      <c r="G75" s="41">
        <f aca="true" t="shared" si="37" ref="G75:G89">$Q75</f>
        <v>0</v>
      </c>
      <c r="H75" s="42">
        <f aca="true" t="shared" si="38" ref="H75:H91">$O75</f>
        <v>0</v>
      </c>
      <c r="I75" s="42">
        <f aca="true" t="shared" si="39" ref="I75:I89">H75-G75</f>
        <v>0</v>
      </c>
      <c r="J75" s="403">
        <f aca="true" t="shared" si="40" ref="J75:J89">IF(H75&lt;&gt;0,I75/H75,0)</f>
        <v>0</v>
      </c>
      <c r="K75" s="411">
        <f aca="true" t="shared" si="41" ref="K75:K89">$P75</f>
        <v>3193</v>
      </c>
      <c r="L75" s="42">
        <f aca="true" t="shared" si="42" ref="L75:L91">$O75</f>
        <v>0</v>
      </c>
      <c r="M75" s="42">
        <f aca="true" t="shared" si="43" ref="M75:M89">L75-K75</f>
        <v>-3193</v>
      </c>
      <c r="N75" s="11">
        <f aca="true" t="shared" si="44" ref="N75:N89">IF(L75&lt;&gt;0,M75/L75,0)</f>
        <v>0</v>
      </c>
      <c r="O75" s="169">
        <v>0</v>
      </c>
      <c r="P75" s="209">
        <f>'Est Act'!O74+'Est Act'!O75</f>
        <v>3193</v>
      </c>
      <c r="Q75" s="237">
        <f>'2024 Detail'!O90</f>
        <v>0</v>
      </c>
      <c r="R75" s="33"/>
      <c r="S75" s="33"/>
      <c r="T75" s="33"/>
      <c r="U75" s="33"/>
      <c r="V75" s="33"/>
      <c r="W75" s="33"/>
      <c r="X75" s="43"/>
      <c r="Y75" s="44"/>
      <c r="Z75" s="42"/>
      <c r="AA75" s="58"/>
      <c r="AC75" s="42"/>
      <c r="AD75" s="42"/>
      <c r="AE75" s="58"/>
      <c r="AF75" s="42"/>
      <c r="AG75" s="42"/>
      <c r="AH75" s="42"/>
      <c r="AI75" s="58"/>
      <c r="AJ75" s="42"/>
      <c r="AK75" s="42"/>
      <c r="AL75" s="42"/>
      <c r="AM75" s="42"/>
    </row>
    <row r="76" spans="1:39" ht="12" customHeight="1">
      <c r="A76" s="316"/>
      <c r="B76" s="56" t="s">
        <v>451</v>
      </c>
      <c r="C76" s="41">
        <f t="shared" si="33"/>
        <v>20500</v>
      </c>
      <c r="D76" s="42">
        <f t="shared" si="34"/>
        <v>16512</v>
      </c>
      <c r="E76" s="42">
        <f t="shared" si="35"/>
        <v>-3988</v>
      </c>
      <c r="F76" s="11">
        <f t="shared" si="36"/>
        <v>-0.24152131782945738</v>
      </c>
      <c r="G76" s="41">
        <f t="shared" si="37"/>
        <v>20500</v>
      </c>
      <c r="H76" s="42">
        <f t="shared" si="38"/>
        <v>49000</v>
      </c>
      <c r="I76" s="42">
        <f t="shared" si="39"/>
        <v>28500</v>
      </c>
      <c r="J76" s="403">
        <f t="shared" si="40"/>
        <v>0.5816326530612245</v>
      </c>
      <c r="K76" s="411">
        <f t="shared" si="41"/>
        <v>16512</v>
      </c>
      <c r="L76" s="42">
        <f t="shared" si="42"/>
        <v>49000</v>
      </c>
      <c r="M76" s="42">
        <f t="shared" si="43"/>
        <v>32488</v>
      </c>
      <c r="N76" s="11">
        <f t="shared" si="44"/>
        <v>0.6630204081632654</v>
      </c>
      <c r="O76" s="169">
        <v>49000</v>
      </c>
      <c r="P76" s="209">
        <f>'Est Act'!O80</f>
        <v>16512</v>
      </c>
      <c r="Q76" s="237">
        <f>'2024 Detail'!O91</f>
        <v>20500</v>
      </c>
      <c r="R76" s="33"/>
      <c r="S76" s="33"/>
      <c r="T76" s="33"/>
      <c r="U76" s="33"/>
      <c r="V76" s="33"/>
      <c r="W76" s="33"/>
      <c r="X76" s="43"/>
      <c r="Y76" s="44"/>
      <c r="Z76" s="42"/>
      <c r="AA76" s="58"/>
      <c r="AC76" s="42"/>
      <c r="AD76" s="42"/>
      <c r="AE76" s="58"/>
      <c r="AF76" s="42"/>
      <c r="AG76" s="42"/>
      <c r="AH76" s="42"/>
      <c r="AI76" s="58"/>
      <c r="AJ76" s="42"/>
      <c r="AK76" s="42"/>
      <c r="AL76" s="42"/>
      <c r="AM76" s="42"/>
    </row>
    <row r="77" spans="1:39" ht="12" customHeight="1">
      <c r="A77" s="316"/>
      <c r="B77" s="56" t="s">
        <v>452</v>
      </c>
      <c r="C77" s="41">
        <f t="shared" si="33"/>
        <v>26500</v>
      </c>
      <c r="D77" s="42">
        <f t="shared" si="34"/>
        <v>35101</v>
      </c>
      <c r="E77" s="42">
        <f t="shared" si="35"/>
        <v>8601</v>
      </c>
      <c r="F77" s="11">
        <f t="shared" si="36"/>
        <v>0.24503575396712343</v>
      </c>
      <c r="G77" s="41">
        <f t="shared" si="37"/>
        <v>26500</v>
      </c>
      <c r="H77" s="42">
        <f t="shared" si="38"/>
        <v>35000</v>
      </c>
      <c r="I77" s="42">
        <f t="shared" si="39"/>
        <v>8500</v>
      </c>
      <c r="J77" s="403">
        <f t="shared" si="40"/>
        <v>0.24285714285714285</v>
      </c>
      <c r="K77" s="411">
        <f t="shared" si="41"/>
        <v>35101</v>
      </c>
      <c r="L77" s="42">
        <f t="shared" si="42"/>
        <v>35000</v>
      </c>
      <c r="M77" s="42">
        <f t="shared" si="43"/>
        <v>-101</v>
      </c>
      <c r="N77" s="11">
        <f t="shared" si="44"/>
        <v>-0.0028857142857142857</v>
      </c>
      <c r="O77" s="169">
        <v>35000</v>
      </c>
      <c r="P77" s="209">
        <f>'Est Act'!O90</f>
        <v>35101</v>
      </c>
      <c r="Q77" s="237">
        <f>'2024 Detail'!O92</f>
        <v>26500</v>
      </c>
      <c r="R77" s="33"/>
      <c r="S77" s="33"/>
      <c r="T77" s="33"/>
      <c r="U77" s="33"/>
      <c r="V77" s="33"/>
      <c r="W77" s="33"/>
      <c r="X77" s="43"/>
      <c r="Y77" s="44"/>
      <c r="Z77" s="42"/>
      <c r="AA77" s="58"/>
      <c r="AC77" s="42"/>
      <c r="AD77" s="42"/>
      <c r="AE77" s="58"/>
      <c r="AF77" s="42"/>
      <c r="AG77" s="42"/>
      <c r="AH77" s="42"/>
      <c r="AI77" s="58"/>
      <c r="AJ77" s="42"/>
      <c r="AK77" s="42"/>
      <c r="AL77" s="42"/>
      <c r="AM77" s="42"/>
    </row>
    <row r="78" spans="1:39" ht="12" customHeight="1">
      <c r="A78" s="316"/>
      <c r="B78" s="56" t="s">
        <v>453</v>
      </c>
      <c r="C78" s="41">
        <f t="shared" si="33"/>
        <v>75000</v>
      </c>
      <c r="D78" s="42">
        <f t="shared" si="34"/>
        <v>2407</v>
      </c>
      <c r="E78" s="42">
        <f t="shared" si="35"/>
        <v>-72593</v>
      </c>
      <c r="F78" s="11">
        <f t="shared" si="36"/>
        <v>-30.15911923556294</v>
      </c>
      <c r="G78" s="41">
        <f t="shared" si="37"/>
        <v>75000</v>
      </c>
      <c r="H78" s="42">
        <f t="shared" si="38"/>
        <v>0</v>
      </c>
      <c r="I78" s="42">
        <f t="shared" si="39"/>
        <v>-75000</v>
      </c>
      <c r="J78" s="403">
        <f t="shared" si="40"/>
        <v>0</v>
      </c>
      <c r="K78" s="411">
        <f t="shared" si="41"/>
        <v>2407</v>
      </c>
      <c r="L78" s="42">
        <f t="shared" si="42"/>
        <v>0</v>
      </c>
      <c r="M78" s="42">
        <f t="shared" si="43"/>
        <v>-2407</v>
      </c>
      <c r="N78" s="11">
        <f t="shared" si="44"/>
        <v>0</v>
      </c>
      <c r="O78" s="169">
        <v>0</v>
      </c>
      <c r="P78" s="209">
        <f>'Est Act'!O84</f>
        <v>2407</v>
      </c>
      <c r="Q78" s="237">
        <f>'2024 Detail'!O93</f>
        <v>75000</v>
      </c>
      <c r="R78" s="33"/>
      <c r="S78" s="33"/>
      <c r="T78" s="33"/>
      <c r="U78" s="33"/>
      <c r="V78" s="33"/>
      <c r="W78" s="33"/>
      <c r="X78" s="43"/>
      <c r="Y78" s="44"/>
      <c r="Z78" s="42"/>
      <c r="AA78" s="58"/>
      <c r="AC78" s="42"/>
      <c r="AD78" s="42"/>
      <c r="AE78" s="58"/>
      <c r="AF78" s="42"/>
      <c r="AG78" s="42"/>
      <c r="AH78" s="42"/>
      <c r="AI78" s="58"/>
      <c r="AJ78" s="42"/>
      <c r="AK78" s="42"/>
      <c r="AL78" s="42"/>
      <c r="AM78" s="42"/>
    </row>
    <row r="79" spans="1:39" ht="12" customHeight="1">
      <c r="A79" s="316"/>
      <c r="B79" s="56" t="s">
        <v>466</v>
      </c>
      <c r="C79" s="41">
        <f t="shared" si="33"/>
        <v>175500</v>
      </c>
      <c r="D79" s="42">
        <f t="shared" si="34"/>
        <v>27891</v>
      </c>
      <c r="E79" s="42">
        <f t="shared" si="35"/>
        <v>-147609</v>
      </c>
      <c r="F79" s="11">
        <f t="shared" si="36"/>
        <v>-5.292352371732817</v>
      </c>
      <c r="G79" s="41">
        <f t="shared" si="37"/>
        <v>175500</v>
      </c>
      <c r="H79" s="42">
        <f t="shared" si="38"/>
        <v>70000</v>
      </c>
      <c r="I79" s="42">
        <f t="shared" si="39"/>
        <v>-105500</v>
      </c>
      <c r="J79" s="403">
        <f t="shared" si="40"/>
        <v>-1.5071428571428571</v>
      </c>
      <c r="K79" s="411">
        <f t="shared" si="41"/>
        <v>27891</v>
      </c>
      <c r="L79" s="42">
        <f t="shared" si="42"/>
        <v>70000</v>
      </c>
      <c r="M79" s="42">
        <f t="shared" si="43"/>
        <v>42109</v>
      </c>
      <c r="N79" s="11">
        <f t="shared" si="44"/>
        <v>0.6015571428571429</v>
      </c>
      <c r="O79" s="169">
        <v>70000</v>
      </c>
      <c r="P79" s="209">
        <f>'Est Act'!O77+'Est Act'!O89+'Est Act'!O86+'Est Act'!O87</f>
        <v>27891</v>
      </c>
      <c r="Q79" s="237">
        <f>'2024 Detail'!O94</f>
        <v>175500</v>
      </c>
      <c r="R79" s="33"/>
      <c r="S79" s="33"/>
      <c r="T79" s="33"/>
      <c r="U79" s="33"/>
      <c r="V79" s="33"/>
      <c r="W79" s="33"/>
      <c r="X79" s="43"/>
      <c r="Y79" s="44"/>
      <c r="Z79" s="42"/>
      <c r="AA79" s="58"/>
      <c r="AC79" s="42"/>
      <c r="AD79" s="42"/>
      <c r="AE79" s="58"/>
      <c r="AF79" s="42"/>
      <c r="AG79" s="42"/>
      <c r="AH79" s="42"/>
      <c r="AI79" s="58"/>
      <c r="AJ79" s="42"/>
      <c r="AK79" s="42"/>
      <c r="AL79" s="42"/>
      <c r="AM79" s="42"/>
    </row>
    <row r="80" spans="1:39" ht="12" customHeight="1">
      <c r="A80" s="316"/>
      <c r="B80" s="56" t="s">
        <v>337</v>
      </c>
      <c r="C80" s="41"/>
      <c r="D80" s="42"/>
      <c r="E80" s="42"/>
      <c r="G80" s="41"/>
      <c r="H80" s="42"/>
      <c r="I80" s="42"/>
      <c r="J80" s="403"/>
      <c r="K80" s="411"/>
      <c r="L80" s="42"/>
      <c r="M80" s="42"/>
      <c r="O80" s="169"/>
      <c r="P80" s="209">
        <f>'Est Act'!O82</f>
        <v>450</v>
      </c>
      <c r="Q80" s="237"/>
      <c r="R80" s="33"/>
      <c r="S80" s="33"/>
      <c r="T80" s="33"/>
      <c r="U80" s="33"/>
      <c r="V80" s="33"/>
      <c r="W80" s="33"/>
      <c r="X80" s="43"/>
      <c r="Y80" s="44"/>
      <c r="Z80" s="42"/>
      <c r="AA80" s="58"/>
      <c r="AC80" s="42"/>
      <c r="AD80" s="42"/>
      <c r="AE80" s="58"/>
      <c r="AF80" s="42"/>
      <c r="AG80" s="42"/>
      <c r="AH80" s="42"/>
      <c r="AI80" s="58"/>
      <c r="AJ80" s="42"/>
      <c r="AK80" s="42"/>
      <c r="AL80" s="42"/>
      <c r="AM80" s="42"/>
    </row>
    <row r="81" spans="1:39" ht="12" customHeight="1">
      <c r="A81" s="316"/>
      <c r="B81" s="56" t="s">
        <v>458</v>
      </c>
      <c r="C81" s="41">
        <f>$Q81</f>
        <v>29100</v>
      </c>
      <c r="D81" s="42">
        <f t="shared" si="34"/>
        <v>9314</v>
      </c>
      <c r="E81" s="42">
        <f t="shared" si="35"/>
        <v>-19786</v>
      </c>
      <c r="F81" s="11">
        <f t="shared" si="36"/>
        <v>-2.1243289671462313</v>
      </c>
      <c r="G81" s="41">
        <f t="shared" si="37"/>
        <v>29100</v>
      </c>
      <c r="H81" s="42">
        <f t="shared" si="38"/>
        <v>39500</v>
      </c>
      <c r="I81" s="42">
        <f t="shared" si="39"/>
        <v>10400</v>
      </c>
      <c r="J81" s="403">
        <f t="shared" si="40"/>
        <v>0.26329113924050634</v>
      </c>
      <c r="K81" s="411">
        <f t="shared" si="41"/>
        <v>9314</v>
      </c>
      <c r="L81" s="42">
        <f t="shared" si="42"/>
        <v>39500</v>
      </c>
      <c r="M81" s="42">
        <f t="shared" si="43"/>
        <v>30186</v>
      </c>
      <c r="N81" s="11">
        <f t="shared" si="44"/>
        <v>0.7642025316455696</v>
      </c>
      <c r="O81" s="169">
        <v>39500</v>
      </c>
      <c r="P81" s="209">
        <f>'Est Act'!O83</f>
        <v>9314</v>
      </c>
      <c r="Q81" s="237">
        <f>'2024 Detail'!O95</f>
        <v>29100</v>
      </c>
      <c r="R81" s="33"/>
      <c r="S81" s="33"/>
      <c r="T81" s="33"/>
      <c r="U81" s="33"/>
      <c r="V81" s="33"/>
      <c r="W81" s="33"/>
      <c r="X81" s="43"/>
      <c r="Y81" s="44"/>
      <c r="Z81" s="42"/>
      <c r="AA81" s="58"/>
      <c r="AC81" s="42"/>
      <c r="AD81" s="42"/>
      <c r="AE81" s="58"/>
      <c r="AF81" s="42"/>
      <c r="AG81" s="42"/>
      <c r="AH81" s="42"/>
      <c r="AI81" s="58"/>
      <c r="AJ81" s="42"/>
      <c r="AK81" s="42"/>
      <c r="AL81" s="42"/>
      <c r="AM81" s="42"/>
    </row>
    <row r="82" spans="1:39" ht="12" customHeight="1">
      <c r="A82" s="316"/>
      <c r="B82" s="56" t="s">
        <v>478</v>
      </c>
      <c r="C82" s="41">
        <f t="shared" si="33"/>
        <v>0</v>
      </c>
      <c r="D82" s="42">
        <f t="shared" si="34"/>
        <v>0</v>
      </c>
      <c r="E82" s="42">
        <f>D82-C82</f>
        <v>0</v>
      </c>
      <c r="F82" s="11">
        <f>IF(D82&lt;&gt;0,E82/D82,0)</f>
        <v>0</v>
      </c>
      <c r="G82" s="41">
        <f t="shared" si="37"/>
        <v>0</v>
      </c>
      <c r="H82" s="42">
        <f t="shared" si="38"/>
        <v>0</v>
      </c>
      <c r="I82" s="42">
        <f>H82-G82</f>
        <v>0</v>
      </c>
      <c r="J82" s="403">
        <f>IF(H82&lt;&gt;0,I82/H82,0)</f>
        <v>0</v>
      </c>
      <c r="K82" s="411">
        <f t="shared" si="41"/>
        <v>0</v>
      </c>
      <c r="L82" s="42">
        <f t="shared" si="42"/>
        <v>0</v>
      </c>
      <c r="M82" s="42">
        <f>L82-K82</f>
        <v>0</v>
      </c>
      <c r="N82" s="11">
        <f>IF(L82&lt;&gt;0,M82/L82,0)</f>
        <v>0</v>
      </c>
      <c r="O82" s="169"/>
      <c r="P82" s="209"/>
      <c r="Q82" s="237"/>
      <c r="R82" s="33"/>
      <c r="S82" s="33"/>
      <c r="T82" s="33"/>
      <c r="U82" s="33"/>
      <c r="V82" s="33"/>
      <c r="W82" s="33"/>
      <c r="X82" s="43"/>
      <c r="Y82" s="44"/>
      <c r="Z82" s="42"/>
      <c r="AA82" s="58"/>
      <c r="AC82" s="42"/>
      <c r="AD82" s="42"/>
      <c r="AE82" s="58"/>
      <c r="AF82" s="42"/>
      <c r="AG82" s="42"/>
      <c r="AH82" s="42"/>
      <c r="AI82" s="58"/>
      <c r="AJ82" s="42"/>
      <c r="AK82" s="42"/>
      <c r="AL82" s="42"/>
      <c r="AM82" s="42"/>
    </row>
    <row r="83" spans="1:39" ht="12" customHeight="1">
      <c r="A83" s="316"/>
      <c r="B83" s="56" t="s">
        <v>348</v>
      </c>
      <c r="C83" s="41">
        <f t="shared" si="33"/>
        <v>13000</v>
      </c>
      <c r="D83" s="42">
        <f t="shared" si="34"/>
        <v>0</v>
      </c>
      <c r="E83" s="42">
        <f t="shared" si="35"/>
        <v>-13000</v>
      </c>
      <c r="F83" s="11">
        <f t="shared" si="36"/>
        <v>0</v>
      </c>
      <c r="G83" s="41">
        <f t="shared" si="37"/>
        <v>13000</v>
      </c>
      <c r="H83" s="42">
        <f t="shared" si="38"/>
        <v>0</v>
      </c>
      <c r="I83" s="42">
        <f t="shared" si="39"/>
        <v>-13000</v>
      </c>
      <c r="J83" s="403">
        <f t="shared" si="40"/>
        <v>0</v>
      </c>
      <c r="K83" s="411">
        <f t="shared" si="41"/>
        <v>0</v>
      </c>
      <c r="L83" s="42">
        <f t="shared" si="42"/>
        <v>0</v>
      </c>
      <c r="M83" s="42">
        <f t="shared" si="43"/>
        <v>0</v>
      </c>
      <c r="N83" s="11">
        <f t="shared" si="44"/>
        <v>0</v>
      </c>
      <c r="O83" s="169">
        <v>0</v>
      </c>
      <c r="P83" s="209"/>
      <c r="Q83" s="237">
        <f>'2024 Detail'!O96</f>
        <v>13000</v>
      </c>
      <c r="R83" s="33"/>
      <c r="S83" s="33"/>
      <c r="T83" s="33"/>
      <c r="U83" s="33"/>
      <c r="V83" s="33"/>
      <c r="W83" s="33"/>
      <c r="X83" s="43"/>
      <c r="Y83" s="44"/>
      <c r="Z83" s="42"/>
      <c r="AA83" s="58"/>
      <c r="AC83" s="42"/>
      <c r="AD83" s="42"/>
      <c r="AE83" s="58"/>
      <c r="AF83" s="42"/>
      <c r="AG83" s="42"/>
      <c r="AH83" s="42"/>
      <c r="AI83" s="58"/>
      <c r="AJ83" s="42"/>
      <c r="AK83" s="42"/>
      <c r="AL83" s="42"/>
      <c r="AM83" s="42"/>
    </row>
    <row r="84" spans="1:39" ht="12" customHeight="1">
      <c r="A84" s="316"/>
      <c r="B84" s="56" t="s">
        <v>462</v>
      </c>
      <c r="C84" s="41">
        <f t="shared" si="33"/>
        <v>275650</v>
      </c>
      <c r="D84" s="42">
        <f t="shared" si="34"/>
        <v>46890</v>
      </c>
      <c r="E84" s="42">
        <f t="shared" si="35"/>
        <v>-228760</v>
      </c>
      <c r="F84" s="11">
        <f t="shared" si="36"/>
        <v>-4.878652164640648</v>
      </c>
      <c r="G84" s="41">
        <f t="shared" si="37"/>
        <v>275650</v>
      </c>
      <c r="H84" s="42">
        <f t="shared" si="38"/>
        <v>90600</v>
      </c>
      <c r="I84" s="42">
        <f t="shared" si="39"/>
        <v>-185050</v>
      </c>
      <c r="J84" s="403">
        <f t="shared" si="40"/>
        <v>-2.042494481236203</v>
      </c>
      <c r="K84" s="411">
        <f t="shared" si="41"/>
        <v>46890</v>
      </c>
      <c r="L84" s="42">
        <f t="shared" si="42"/>
        <v>90600</v>
      </c>
      <c r="M84" s="42">
        <f t="shared" si="43"/>
        <v>43710</v>
      </c>
      <c r="N84" s="11">
        <f t="shared" si="44"/>
        <v>0.4824503311258278</v>
      </c>
      <c r="O84" s="169">
        <v>90600</v>
      </c>
      <c r="P84" s="209">
        <f>'Est Act'!O76</f>
        <v>46890</v>
      </c>
      <c r="Q84" s="237">
        <f>'2024 Detail'!O97</f>
        <v>275650</v>
      </c>
      <c r="R84" s="33"/>
      <c r="S84" s="33"/>
      <c r="T84" s="33"/>
      <c r="U84" s="33"/>
      <c r="V84" s="33"/>
      <c r="W84" s="33"/>
      <c r="X84" s="43"/>
      <c r="Y84" s="44"/>
      <c r="Z84" s="42"/>
      <c r="AA84" s="58"/>
      <c r="AC84" s="42"/>
      <c r="AD84" s="42"/>
      <c r="AE84" s="58"/>
      <c r="AF84" s="42"/>
      <c r="AG84" s="42"/>
      <c r="AH84" s="42"/>
      <c r="AI84" s="58"/>
      <c r="AJ84" s="42"/>
      <c r="AK84" s="42"/>
      <c r="AL84" s="42"/>
      <c r="AM84" s="42"/>
    </row>
    <row r="85" spans="1:39" ht="12" customHeight="1">
      <c r="A85" s="316"/>
      <c r="B85" s="56" t="s">
        <v>414</v>
      </c>
      <c r="C85" s="41">
        <f t="shared" si="33"/>
        <v>0</v>
      </c>
      <c r="D85" s="42">
        <f t="shared" si="34"/>
        <v>260</v>
      </c>
      <c r="E85" s="42">
        <f>D85-C85</f>
        <v>260</v>
      </c>
      <c r="F85" s="11">
        <f>IF(D85&lt;&gt;0,E85/D85,0)</f>
        <v>1</v>
      </c>
      <c r="G85" s="41">
        <f t="shared" si="37"/>
        <v>0</v>
      </c>
      <c r="H85" s="42">
        <f t="shared" si="38"/>
        <v>0</v>
      </c>
      <c r="I85" s="42">
        <f>H85-G85</f>
        <v>0</v>
      </c>
      <c r="J85" s="403">
        <f>IF(H85&lt;&gt;0,I85/H85,0)</f>
        <v>0</v>
      </c>
      <c r="K85" s="411">
        <f t="shared" si="41"/>
        <v>260</v>
      </c>
      <c r="L85" s="42">
        <f t="shared" si="42"/>
        <v>0</v>
      </c>
      <c r="M85" s="42">
        <f>L85-K85</f>
        <v>-260</v>
      </c>
      <c r="N85" s="11">
        <f>IF(L85&lt;&gt;0,M85/L85,0)</f>
        <v>0</v>
      </c>
      <c r="O85" s="169"/>
      <c r="P85" s="209">
        <f>'Est Act'!O79</f>
        <v>260</v>
      </c>
      <c r="Q85" s="237"/>
      <c r="R85" s="33"/>
      <c r="S85" s="33"/>
      <c r="T85" s="33"/>
      <c r="U85" s="33"/>
      <c r="V85" s="33"/>
      <c r="W85" s="33"/>
      <c r="X85" s="43"/>
      <c r="Y85" s="44"/>
      <c r="Z85" s="42"/>
      <c r="AA85" s="58"/>
      <c r="AC85" s="42"/>
      <c r="AD85" s="42"/>
      <c r="AE85" s="58"/>
      <c r="AF85" s="42"/>
      <c r="AG85" s="42"/>
      <c r="AH85" s="42"/>
      <c r="AI85" s="58"/>
      <c r="AJ85" s="42"/>
      <c r="AK85" s="42"/>
      <c r="AL85" s="42"/>
      <c r="AM85" s="42"/>
    </row>
    <row r="86" spans="1:39" ht="12" customHeight="1">
      <c r="A86" s="316"/>
      <c r="B86" s="56" t="s">
        <v>479</v>
      </c>
      <c r="C86" s="41">
        <f t="shared" si="33"/>
        <v>0</v>
      </c>
      <c r="D86" s="42">
        <f t="shared" si="34"/>
        <v>0</v>
      </c>
      <c r="E86" s="42">
        <f>D86-C86</f>
        <v>0</v>
      </c>
      <c r="F86" s="11">
        <f>IF(D86&lt;&gt;0,E86/D86,0)</f>
        <v>0</v>
      </c>
      <c r="G86" s="41">
        <f t="shared" si="37"/>
        <v>0</v>
      </c>
      <c r="H86" s="42">
        <f t="shared" si="38"/>
        <v>0</v>
      </c>
      <c r="I86" s="42">
        <f>H86-G86</f>
        <v>0</v>
      </c>
      <c r="J86" s="403">
        <f>IF(H86&lt;&gt;0,I86/H86,0)</f>
        <v>0</v>
      </c>
      <c r="K86" s="411">
        <f t="shared" si="41"/>
        <v>0</v>
      </c>
      <c r="L86" s="42">
        <f t="shared" si="42"/>
        <v>0</v>
      </c>
      <c r="M86" s="42">
        <f>L86-K86</f>
        <v>0</v>
      </c>
      <c r="N86" s="11">
        <f>IF(L86&lt;&gt;0,M86/L86,0)</f>
        <v>0</v>
      </c>
      <c r="O86" s="169"/>
      <c r="P86" s="209"/>
      <c r="Q86" s="237"/>
      <c r="R86" s="33"/>
      <c r="S86" s="33"/>
      <c r="T86" s="33"/>
      <c r="U86" s="33"/>
      <c r="V86" s="33"/>
      <c r="W86" s="33"/>
      <c r="X86" s="43"/>
      <c r="Y86" s="44"/>
      <c r="Z86" s="42"/>
      <c r="AA86" s="58"/>
      <c r="AC86" s="42"/>
      <c r="AD86" s="42"/>
      <c r="AE86" s="58"/>
      <c r="AF86" s="42"/>
      <c r="AG86" s="42"/>
      <c r="AH86" s="42"/>
      <c r="AI86" s="58"/>
      <c r="AJ86" s="42"/>
      <c r="AK86" s="42"/>
      <c r="AL86" s="42"/>
      <c r="AM86" s="42"/>
    </row>
    <row r="87" spans="1:39" ht="12" customHeight="1">
      <c r="A87" s="316"/>
      <c r="B87" s="56" t="s">
        <v>152</v>
      </c>
      <c r="C87" s="41">
        <f t="shared" si="33"/>
        <v>40150</v>
      </c>
      <c r="D87" s="42">
        <f t="shared" si="34"/>
        <v>20636</v>
      </c>
      <c r="E87" s="42">
        <f t="shared" si="35"/>
        <v>-19514</v>
      </c>
      <c r="F87" s="11">
        <f t="shared" si="36"/>
        <v>-0.9456289978678039</v>
      </c>
      <c r="G87" s="41">
        <f t="shared" si="37"/>
        <v>40150</v>
      </c>
      <c r="H87" s="42">
        <f t="shared" si="38"/>
        <v>18000</v>
      </c>
      <c r="I87" s="42">
        <f t="shared" si="39"/>
        <v>-22150</v>
      </c>
      <c r="J87" s="403">
        <f t="shared" si="40"/>
        <v>-1.2305555555555556</v>
      </c>
      <c r="K87" s="411">
        <f t="shared" si="41"/>
        <v>20636</v>
      </c>
      <c r="L87" s="42">
        <f t="shared" si="42"/>
        <v>18000</v>
      </c>
      <c r="M87" s="42">
        <f t="shared" si="43"/>
        <v>-2636</v>
      </c>
      <c r="N87" s="11">
        <f t="shared" si="44"/>
        <v>-0.14644444444444443</v>
      </c>
      <c r="O87" s="169">
        <v>18000</v>
      </c>
      <c r="P87" s="209">
        <f>'Est Act'!O78</f>
        <v>20636</v>
      </c>
      <c r="Q87" s="237">
        <f>'2024 Detail'!O98</f>
        <v>40150</v>
      </c>
      <c r="R87" s="33"/>
      <c r="S87" s="33"/>
      <c r="T87" s="33"/>
      <c r="U87" s="33"/>
      <c r="V87" s="33"/>
      <c r="W87" s="33"/>
      <c r="X87" s="43"/>
      <c r="Y87" s="44"/>
      <c r="Z87" s="42"/>
      <c r="AA87" s="58"/>
      <c r="AC87" s="42"/>
      <c r="AD87" s="42"/>
      <c r="AE87" s="58"/>
      <c r="AF87" s="42"/>
      <c r="AG87" s="42"/>
      <c r="AH87" s="42"/>
      <c r="AI87" s="58"/>
      <c r="AJ87" s="42"/>
      <c r="AK87" s="42"/>
      <c r="AL87" s="42"/>
      <c r="AM87" s="42"/>
    </row>
    <row r="88" spans="1:39" ht="12" customHeight="1">
      <c r="A88" s="316"/>
      <c r="B88" s="56" t="s">
        <v>231</v>
      </c>
      <c r="C88" s="41">
        <f t="shared" si="33"/>
        <v>40000</v>
      </c>
      <c r="D88" s="42">
        <f t="shared" si="34"/>
        <v>0</v>
      </c>
      <c r="E88" s="42">
        <f t="shared" si="35"/>
        <v>-40000</v>
      </c>
      <c r="F88" s="11">
        <f t="shared" si="36"/>
        <v>0</v>
      </c>
      <c r="G88" s="41">
        <f t="shared" si="37"/>
        <v>40000</v>
      </c>
      <c r="H88" s="42">
        <f t="shared" si="38"/>
        <v>0</v>
      </c>
      <c r="I88" s="42">
        <f t="shared" si="39"/>
        <v>-40000</v>
      </c>
      <c r="J88" s="403">
        <f t="shared" si="40"/>
        <v>0</v>
      </c>
      <c r="K88" s="411">
        <f t="shared" si="41"/>
        <v>0</v>
      </c>
      <c r="L88" s="42">
        <f t="shared" si="42"/>
        <v>0</v>
      </c>
      <c r="M88" s="42">
        <f t="shared" si="43"/>
        <v>0</v>
      </c>
      <c r="N88" s="11">
        <f t="shared" si="44"/>
        <v>0</v>
      </c>
      <c r="O88" s="169">
        <v>0</v>
      </c>
      <c r="P88" s="209"/>
      <c r="Q88" s="237">
        <f>'2024 Detail'!O100</f>
        <v>40000</v>
      </c>
      <c r="R88" s="33"/>
      <c r="S88" s="33"/>
      <c r="T88" s="33"/>
      <c r="U88" s="33"/>
      <c r="V88" s="33"/>
      <c r="W88" s="33"/>
      <c r="X88" s="43"/>
      <c r="Y88" s="44"/>
      <c r="Z88" s="42"/>
      <c r="AA88" s="58"/>
      <c r="AC88" s="42"/>
      <c r="AD88" s="42"/>
      <c r="AE88" s="58"/>
      <c r="AF88" s="42"/>
      <c r="AG88" s="42"/>
      <c r="AH88" s="42"/>
      <c r="AI88" s="58"/>
      <c r="AJ88" s="42"/>
      <c r="AK88" s="42"/>
      <c r="AL88" s="42"/>
      <c r="AM88" s="42"/>
    </row>
    <row r="89" spans="1:39" ht="12" customHeight="1">
      <c r="A89" s="316"/>
      <c r="B89" s="56" t="s">
        <v>463</v>
      </c>
      <c r="C89" s="41">
        <f t="shared" si="33"/>
        <v>0</v>
      </c>
      <c r="D89" s="42">
        <f t="shared" si="34"/>
        <v>1938</v>
      </c>
      <c r="E89" s="42">
        <f t="shared" si="35"/>
        <v>1938</v>
      </c>
      <c r="F89" s="11">
        <f t="shared" si="36"/>
        <v>1</v>
      </c>
      <c r="G89" s="41">
        <f t="shared" si="37"/>
        <v>0</v>
      </c>
      <c r="H89" s="42">
        <f t="shared" si="38"/>
        <v>0</v>
      </c>
      <c r="I89" s="42">
        <f t="shared" si="39"/>
        <v>0</v>
      </c>
      <c r="J89" s="403">
        <f t="shared" si="40"/>
        <v>0</v>
      </c>
      <c r="K89" s="411">
        <f t="shared" si="41"/>
        <v>1938</v>
      </c>
      <c r="L89" s="42">
        <f t="shared" si="42"/>
        <v>0</v>
      </c>
      <c r="M89" s="42">
        <f t="shared" si="43"/>
        <v>-1938</v>
      </c>
      <c r="N89" s="11">
        <f t="shared" si="44"/>
        <v>0</v>
      </c>
      <c r="O89" s="169">
        <v>0</v>
      </c>
      <c r="P89" s="209">
        <f>'Est Act'!O88</f>
        <v>1938</v>
      </c>
      <c r="Q89" s="237">
        <f>'2024 Detail'!O101</f>
        <v>0</v>
      </c>
      <c r="R89" s="33"/>
      <c r="S89" s="33"/>
      <c r="T89" s="33"/>
      <c r="U89" s="33"/>
      <c r="V89" s="33"/>
      <c r="W89" s="33"/>
      <c r="X89" s="43"/>
      <c r="Y89" s="44"/>
      <c r="Z89" s="42"/>
      <c r="AA89" s="58"/>
      <c r="AC89" s="42"/>
      <c r="AD89" s="42"/>
      <c r="AE89" s="58"/>
      <c r="AF89" s="42"/>
      <c r="AG89" s="42"/>
      <c r="AH89" s="42"/>
      <c r="AI89" s="58"/>
      <c r="AJ89" s="42"/>
      <c r="AK89" s="42"/>
      <c r="AL89" s="42"/>
      <c r="AM89" s="42"/>
    </row>
    <row r="90" spans="1:39" ht="12" customHeight="1">
      <c r="A90" s="316"/>
      <c r="B90" s="56" t="s">
        <v>228</v>
      </c>
      <c r="C90" s="41" t="str">
        <f t="shared" si="33"/>
        <v>-</v>
      </c>
      <c r="D90" s="42"/>
      <c r="E90" s="42"/>
      <c r="G90" s="41"/>
      <c r="H90" s="42" t="str">
        <f t="shared" si="38"/>
        <v>-</v>
      </c>
      <c r="I90" s="42"/>
      <c r="J90" s="403"/>
      <c r="K90" s="411"/>
      <c r="L90" s="42" t="str">
        <f t="shared" si="42"/>
        <v>-</v>
      </c>
      <c r="M90" s="42"/>
      <c r="O90" s="169" t="s">
        <v>17</v>
      </c>
      <c r="P90" s="209"/>
      <c r="Q90" s="237" t="str">
        <f>'2024 Detail'!O102</f>
        <v>-</v>
      </c>
      <c r="R90" s="33"/>
      <c r="S90" s="33"/>
      <c r="T90" s="33"/>
      <c r="U90" s="33"/>
      <c r="V90" s="33"/>
      <c r="W90" s="33"/>
      <c r="X90" s="43"/>
      <c r="Y90" s="44"/>
      <c r="Z90" s="42"/>
      <c r="AA90" s="58"/>
      <c r="AC90" s="42"/>
      <c r="AD90" s="42"/>
      <c r="AE90" s="58"/>
      <c r="AF90" s="42"/>
      <c r="AG90" s="42"/>
      <c r="AH90" s="42"/>
      <c r="AI90" s="58"/>
      <c r="AJ90" s="42"/>
      <c r="AK90" s="42"/>
      <c r="AL90" s="42"/>
      <c r="AM90" s="42"/>
    </row>
    <row r="91" spans="1:39" ht="12" customHeight="1">
      <c r="A91" s="316"/>
      <c r="B91" s="56" t="s">
        <v>406</v>
      </c>
      <c r="C91" s="41">
        <f t="shared" si="33"/>
        <v>0</v>
      </c>
      <c r="D91" s="42"/>
      <c r="E91" s="42"/>
      <c r="G91" s="41"/>
      <c r="H91" s="42">
        <f t="shared" si="38"/>
        <v>0</v>
      </c>
      <c r="I91" s="42"/>
      <c r="J91" s="403"/>
      <c r="K91" s="411"/>
      <c r="L91" s="42">
        <f t="shared" si="42"/>
        <v>0</v>
      </c>
      <c r="M91" s="42"/>
      <c r="O91" s="169">
        <v>0</v>
      </c>
      <c r="P91" s="209">
        <f>'Est Act'!O81</f>
        <v>513</v>
      </c>
      <c r="Q91" s="237">
        <f>'2024 Detail'!O99</f>
        <v>0</v>
      </c>
      <c r="R91" s="33"/>
      <c r="S91" s="33"/>
      <c r="T91" s="33"/>
      <c r="U91" s="33"/>
      <c r="V91" s="33"/>
      <c r="W91" s="33"/>
      <c r="X91" s="43"/>
      <c r="Y91" s="44"/>
      <c r="Z91" s="42"/>
      <c r="AA91" s="58"/>
      <c r="AC91" s="42"/>
      <c r="AD91" s="42"/>
      <c r="AE91" s="58"/>
      <c r="AF91" s="42"/>
      <c r="AG91" s="42"/>
      <c r="AH91" s="42"/>
      <c r="AI91" s="58"/>
      <c r="AJ91" s="42"/>
      <c r="AK91" s="42"/>
      <c r="AL91" s="42"/>
      <c r="AM91" s="42"/>
    </row>
    <row r="92" spans="1:39" ht="12" customHeight="1">
      <c r="A92" s="316"/>
      <c r="B92" s="56"/>
      <c r="C92" s="41"/>
      <c r="D92" s="42"/>
      <c r="E92" s="42"/>
      <c r="G92" s="41"/>
      <c r="H92" s="42"/>
      <c r="I92" s="42"/>
      <c r="J92" s="403"/>
      <c r="K92" s="411"/>
      <c r="L92" s="42"/>
      <c r="M92" s="42"/>
      <c r="O92" s="169"/>
      <c r="P92" s="209"/>
      <c r="Q92" s="237"/>
      <c r="R92" s="33"/>
      <c r="S92" s="33"/>
      <c r="T92" s="33"/>
      <c r="U92" s="33"/>
      <c r="V92" s="33"/>
      <c r="W92" s="33"/>
      <c r="X92" s="43"/>
      <c r="Y92" s="44"/>
      <c r="Z92" s="42"/>
      <c r="AA92" s="58"/>
      <c r="AC92" s="42"/>
      <c r="AD92" s="42"/>
      <c r="AE92" s="58"/>
      <c r="AF92" s="42"/>
      <c r="AG92" s="42"/>
      <c r="AH92" s="42"/>
      <c r="AI92" s="58"/>
      <c r="AJ92" s="42"/>
      <c r="AK92" s="42"/>
      <c r="AL92" s="42"/>
      <c r="AM92" s="42"/>
    </row>
    <row r="93" spans="1:39" s="6" customFormat="1" ht="12.75" customHeight="1">
      <c r="A93" s="317"/>
      <c r="B93" s="12" t="s">
        <v>154</v>
      </c>
      <c r="C93" s="78">
        <f>SUM(C74:C92)</f>
        <v>697660</v>
      </c>
      <c r="D93" s="79">
        <f>SUM(D74:D92)</f>
        <v>166402</v>
      </c>
      <c r="E93" s="30">
        <f>D93-C93</f>
        <v>-531258</v>
      </c>
      <c r="F93" s="31">
        <f>IF(D93&lt;&gt;0,E93/D93,0)</f>
        <v>-3.192617877188976</v>
      </c>
      <c r="G93" s="78">
        <f>SUM(G74:G92)</f>
        <v>697660</v>
      </c>
      <c r="H93" s="79">
        <f>SUM(H74:H92)</f>
        <v>303900</v>
      </c>
      <c r="I93" s="30">
        <f>H93-G93</f>
        <v>-393760</v>
      </c>
      <c r="J93" s="31">
        <f>IF(H93&lt;&gt;0,I93/H93,0)</f>
        <v>-1.295689371503784</v>
      </c>
      <c r="K93" s="417">
        <f>SUM(K74:K92)</f>
        <v>166402</v>
      </c>
      <c r="L93" s="79">
        <f>SUM(L74:L92)</f>
        <v>303900</v>
      </c>
      <c r="M93" s="30">
        <f>L93-K93</f>
        <v>137498</v>
      </c>
      <c r="N93" s="32">
        <f>IF(L93&lt;&gt;0,M93/L93,0)</f>
        <v>0.45244488318525833</v>
      </c>
      <c r="O93" s="227">
        <f>SUM(O74:O92)</f>
        <v>303900</v>
      </c>
      <c r="P93" s="228">
        <f>SUM(P74:P92)</f>
        <v>167365</v>
      </c>
      <c r="Q93" s="252">
        <f aca="true" t="shared" si="45" ref="Q93:W93">SUM(Q73:Q92)</f>
        <v>697660</v>
      </c>
      <c r="R93" s="228">
        <f t="shared" si="45"/>
        <v>1675</v>
      </c>
      <c r="S93" s="228">
        <f t="shared" si="45"/>
        <v>0</v>
      </c>
      <c r="T93" s="228">
        <f t="shared" si="45"/>
        <v>0</v>
      </c>
      <c r="U93" s="228">
        <f t="shared" si="45"/>
        <v>0</v>
      </c>
      <c r="V93" s="228">
        <f t="shared" si="45"/>
        <v>2600</v>
      </c>
      <c r="W93" s="228">
        <f t="shared" si="45"/>
        <v>725</v>
      </c>
      <c r="X93" s="48"/>
      <c r="Y93" s="43"/>
      <c r="Z93" s="46"/>
      <c r="AA93" s="67"/>
      <c r="AC93" s="46"/>
      <c r="AD93" s="46"/>
      <c r="AE93" s="67"/>
      <c r="AF93" s="46"/>
      <c r="AG93" s="46"/>
      <c r="AH93" s="46"/>
      <c r="AI93" s="67"/>
      <c r="AJ93" s="46"/>
      <c r="AK93" s="46"/>
      <c r="AL93" s="46"/>
      <c r="AM93" s="46"/>
    </row>
    <row r="94" spans="1:39" s="6" customFormat="1" ht="9" customHeight="1">
      <c r="A94" s="317"/>
      <c r="B94" s="12"/>
      <c r="C94" s="59"/>
      <c r="D94" s="46"/>
      <c r="E94" s="46"/>
      <c r="F94" s="9"/>
      <c r="G94" s="45"/>
      <c r="H94" s="46"/>
      <c r="I94" s="46"/>
      <c r="J94" s="404"/>
      <c r="K94" s="412"/>
      <c r="L94" s="46"/>
      <c r="M94" s="46"/>
      <c r="N94" s="9"/>
      <c r="O94" s="168"/>
      <c r="P94" s="214"/>
      <c r="Q94" s="248"/>
      <c r="R94" s="48"/>
      <c r="S94" s="48"/>
      <c r="T94" s="48"/>
      <c r="U94" s="48"/>
      <c r="V94" s="48"/>
      <c r="W94" s="48"/>
      <c r="X94" s="48"/>
      <c r="Y94" s="44"/>
      <c r="Z94" s="46"/>
      <c r="AA94" s="67"/>
      <c r="AC94" s="46"/>
      <c r="AD94" s="46"/>
      <c r="AE94" s="67"/>
      <c r="AF94" s="46"/>
      <c r="AG94" s="46"/>
      <c r="AH94" s="46"/>
      <c r="AI94" s="67"/>
      <c r="AJ94" s="46"/>
      <c r="AK94" s="46"/>
      <c r="AL94" s="46"/>
      <c r="AM94" s="46"/>
    </row>
    <row r="95" spans="1:39" s="6" customFormat="1" ht="9.75" customHeight="1" hidden="1">
      <c r="A95" s="317"/>
      <c r="B95" s="12"/>
      <c r="C95" s="45"/>
      <c r="D95" s="46"/>
      <c r="E95" s="46"/>
      <c r="F95" s="9"/>
      <c r="G95" s="46"/>
      <c r="H95" s="46"/>
      <c r="I95" s="46"/>
      <c r="J95" s="9"/>
      <c r="K95" s="412"/>
      <c r="L95" s="46"/>
      <c r="M95" s="46"/>
      <c r="N95" s="9"/>
      <c r="O95" s="168"/>
      <c r="P95" s="214"/>
      <c r="Q95" s="248"/>
      <c r="R95" s="48"/>
      <c r="S95" s="48"/>
      <c r="T95" s="48"/>
      <c r="U95" s="48"/>
      <c r="V95" s="48"/>
      <c r="W95" s="48"/>
      <c r="X95" s="48"/>
      <c r="Y95" s="44"/>
      <c r="Z95" s="46"/>
      <c r="AA95" s="67"/>
      <c r="AC95" s="46"/>
      <c r="AD95" s="46"/>
      <c r="AE95" s="67"/>
      <c r="AF95" s="46"/>
      <c r="AG95" s="46"/>
      <c r="AH95" s="46"/>
      <c r="AI95" s="67"/>
      <c r="AJ95" s="46"/>
      <c r="AK95" s="46"/>
      <c r="AL95" s="46"/>
      <c r="AM95" s="46"/>
    </row>
    <row r="96" spans="1:39" s="6" customFormat="1" ht="15.75" customHeight="1" thickBot="1">
      <c r="A96" s="318" t="s">
        <v>155</v>
      </c>
      <c r="B96" s="12"/>
      <c r="C96" s="72">
        <f>+C70-C93</f>
        <v>-409660</v>
      </c>
      <c r="D96" s="73">
        <f>+D70-D93</f>
        <v>97598</v>
      </c>
      <c r="E96" s="73">
        <f>+E70-E93</f>
        <v>555258</v>
      </c>
      <c r="F96" s="75">
        <f>IF(D96&lt;&gt;0,E96/D96,0)</f>
        <v>5.6892354351523595</v>
      </c>
      <c r="G96" s="72">
        <f>+G70-G93</f>
        <v>-409660</v>
      </c>
      <c r="H96" s="73">
        <f>+H70-H93</f>
        <v>-39900</v>
      </c>
      <c r="I96" s="73">
        <f>+I70-I93</f>
        <v>417760</v>
      </c>
      <c r="J96" s="75">
        <f>IF(H96&lt;&gt;0,I96/H96,0)</f>
        <v>-10.470175438596492</v>
      </c>
      <c r="K96" s="416">
        <f>+K70-K93</f>
        <v>97598</v>
      </c>
      <c r="L96" s="73">
        <f>+L70-L93</f>
        <v>-39900</v>
      </c>
      <c r="M96" s="73">
        <f>+M70-M93</f>
        <v>-137498</v>
      </c>
      <c r="N96" s="75">
        <f>IF(L96&lt;&gt;0,M96/L96,0)</f>
        <v>3.446065162907268</v>
      </c>
      <c r="O96" s="225">
        <f>O70-O93</f>
        <v>-39900</v>
      </c>
      <c r="P96" s="226">
        <f>P70-P93</f>
        <v>96635</v>
      </c>
      <c r="Q96" s="253">
        <f>Q70-Q93</f>
        <v>-409660</v>
      </c>
      <c r="R96" s="71" t="e">
        <f>#REF!+R70-R93</f>
        <v>#REF!</v>
      </c>
      <c r="S96" s="71" t="e">
        <f>#REF!+S70-S93</f>
        <v>#REF!</v>
      </c>
      <c r="T96" s="71" t="e">
        <f>#REF!+T70-T93</f>
        <v>#REF!</v>
      </c>
      <c r="U96" s="71" t="e">
        <f>#REF!+U70-U93</f>
        <v>#REF!</v>
      </c>
      <c r="V96" s="71" t="e">
        <f>#REF!+V70-V93</f>
        <v>#REF!</v>
      </c>
      <c r="W96" s="71" t="e">
        <f>#REF!+W70-W93</f>
        <v>#REF!</v>
      </c>
      <c r="X96" s="46"/>
      <c r="Y96" s="44"/>
      <c r="Z96" s="46"/>
      <c r="AA96" s="67"/>
      <c r="AC96" s="46"/>
      <c r="AD96" s="46"/>
      <c r="AE96" s="67"/>
      <c r="AF96" s="46"/>
      <c r="AG96" s="46"/>
      <c r="AH96" s="46"/>
      <c r="AI96" s="67"/>
      <c r="AJ96" s="46"/>
      <c r="AK96" s="46"/>
      <c r="AL96" s="46"/>
      <c r="AM96" s="46"/>
    </row>
    <row r="97" spans="1:39" s="6" customFormat="1" ht="10.5" customHeight="1" thickTop="1">
      <c r="A97" s="80"/>
      <c r="B97" s="81"/>
      <c r="C97" s="84"/>
      <c r="D97" s="82"/>
      <c r="E97" s="82"/>
      <c r="F97" s="83"/>
      <c r="G97" s="84"/>
      <c r="H97" s="82"/>
      <c r="I97" s="82"/>
      <c r="J97" s="405"/>
      <c r="K97" s="418"/>
      <c r="L97" s="82"/>
      <c r="M97" s="82"/>
      <c r="N97" s="83"/>
      <c r="O97" s="171"/>
      <c r="P97" s="216"/>
      <c r="Q97" s="254"/>
      <c r="R97" s="85"/>
      <c r="S97" s="85"/>
      <c r="T97" s="85"/>
      <c r="U97" s="85"/>
      <c r="V97" s="85"/>
      <c r="W97" s="85"/>
      <c r="X97" s="85"/>
      <c r="Y97" s="86"/>
      <c r="Z97" s="46"/>
      <c r="AA97" s="87"/>
      <c r="AC97" s="46"/>
      <c r="AD97" s="46"/>
      <c r="AE97" s="67"/>
      <c r="AF97" s="46"/>
      <c r="AG97" s="46"/>
      <c r="AH97" s="46"/>
      <c r="AI97" s="67"/>
      <c r="AJ97" s="46"/>
      <c r="AK97" s="46"/>
      <c r="AL97" s="46"/>
      <c r="AM97" s="46"/>
    </row>
    <row r="98" spans="1:39" s="6" customFormat="1" ht="16.5" customHeight="1">
      <c r="A98" s="88" t="s">
        <v>156</v>
      </c>
      <c r="B98" s="89"/>
      <c r="C98" s="84"/>
      <c r="D98" s="82"/>
      <c r="E98" s="82"/>
      <c r="F98" s="83"/>
      <c r="G98" s="84"/>
      <c r="H98" s="82"/>
      <c r="I98" s="82"/>
      <c r="K98" s="418"/>
      <c r="L98" s="82"/>
      <c r="M98" s="82"/>
      <c r="N98" s="83"/>
      <c r="O98" s="171"/>
      <c r="P98" s="216"/>
      <c r="Q98" s="254"/>
      <c r="R98" s="85"/>
      <c r="S98" s="85"/>
      <c r="T98" s="85"/>
      <c r="U98" s="85"/>
      <c r="V98" s="85"/>
      <c r="W98" s="85"/>
      <c r="X98" s="85"/>
      <c r="Y98" s="86"/>
      <c r="Z98" s="46"/>
      <c r="AA98" s="67"/>
      <c r="AC98" s="46"/>
      <c r="AD98" s="46"/>
      <c r="AE98" s="67"/>
      <c r="AF98" s="46"/>
      <c r="AG98" s="46"/>
      <c r="AH98" s="46"/>
      <c r="AI98" s="67"/>
      <c r="AJ98" s="46"/>
      <c r="AK98" s="46"/>
      <c r="AL98" s="46"/>
      <c r="AM98" s="46"/>
    </row>
    <row r="99" spans="2:23" ht="12.75">
      <c r="B99" s="90" t="s">
        <v>157</v>
      </c>
      <c r="C99" s="91">
        <f>$Q99</f>
        <v>8500</v>
      </c>
      <c r="D99" s="92">
        <f>$P99</f>
        <v>11179</v>
      </c>
      <c r="E99" s="92">
        <f>C99-D99</f>
        <v>-2679</v>
      </c>
      <c r="F99" s="93">
        <f>IF(D99&lt;&gt;0,E99/D99,0)</f>
        <v>-0.23964576437964039</v>
      </c>
      <c r="G99" s="91">
        <f>$Q99</f>
        <v>8500</v>
      </c>
      <c r="H99" s="92">
        <f>$O99</f>
        <v>20000</v>
      </c>
      <c r="I99" s="92">
        <f>H99-G99</f>
        <v>11500</v>
      </c>
      <c r="J99" s="406">
        <f>IF(H99&lt;&gt;0,I99/H99,0)</f>
        <v>0.575</v>
      </c>
      <c r="K99" s="419">
        <f>$P99</f>
        <v>11179</v>
      </c>
      <c r="L99" s="92">
        <f>$O99</f>
        <v>20000</v>
      </c>
      <c r="M99" s="92">
        <f>L99-K99</f>
        <v>8821</v>
      </c>
      <c r="N99" s="93">
        <f>IF(L99&lt;&gt;0,M99/L99,0)</f>
        <v>0.44105</v>
      </c>
      <c r="O99" s="167">
        <f aca="true" t="shared" si="46" ref="O99:W99">O64</f>
        <v>20000</v>
      </c>
      <c r="P99" s="213">
        <f t="shared" si="46"/>
        <v>11179</v>
      </c>
      <c r="Q99" s="249">
        <f t="shared" si="46"/>
        <v>8500</v>
      </c>
      <c r="R99" s="71" t="e">
        <f t="shared" si="46"/>
        <v>#REF!</v>
      </c>
      <c r="S99" s="71" t="e">
        <f t="shared" si="46"/>
        <v>#REF!</v>
      </c>
      <c r="T99" s="71" t="e">
        <f t="shared" si="46"/>
        <v>#REF!</v>
      </c>
      <c r="U99" s="71" t="e">
        <f t="shared" si="46"/>
        <v>#REF!</v>
      </c>
      <c r="V99" s="71" t="e">
        <f t="shared" si="46"/>
        <v>#REF!</v>
      </c>
      <c r="W99" s="71" t="e">
        <f t="shared" si="46"/>
        <v>#REF!</v>
      </c>
    </row>
    <row r="100" spans="2:23" ht="12.75">
      <c r="B100" s="90" t="s">
        <v>158</v>
      </c>
      <c r="C100" s="91">
        <f>$Q100</f>
        <v>-409660</v>
      </c>
      <c r="D100" s="92">
        <f>$P100</f>
        <v>96635</v>
      </c>
      <c r="E100" s="92">
        <f>C100-D100</f>
        <v>-506295</v>
      </c>
      <c r="F100" s="93">
        <f>IF(D100&lt;&gt;0,E100/D100,0)</f>
        <v>-5.239250789051586</v>
      </c>
      <c r="G100" s="91">
        <f>$Q100</f>
        <v>-409660</v>
      </c>
      <c r="H100" s="92">
        <f>$O100</f>
        <v>-39900</v>
      </c>
      <c r="I100" s="92">
        <f>H100-G100</f>
        <v>369760</v>
      </c>
      <c r="J100" s="406">
        <f>IF(H100&lt;&gt;0,I100/H100,0)</f>
        <v>-9.2671679197995</v>
      </c>
      <c r="K100" s="419">
        <f>$P100</f>
        <v>96635</v>
      </c>
      <c r="L100" s="92">
        <f>$O100</f>
        <v>-39900</v>
      </c>
      <c r="M100" s="92">
        <f>L100-K100</f>
        <v>-136535</v>
      </c>
      <c r="N100" s="93">
        <f>IF(L100&lt;&gt;0,M100/L100,0)</f>
        <v>3.4219298245614036</v>
      </c>
      <c r="O100" s="167">
        <f aca="true" t="shared" si="47" ref="O100:W100">O96</f>
        <v>-39900</v>
      </c>
      <c r="P100" s="213">
        <f t="shared" si="47"/>
        <v>96635</v>
      </c>
      <c r="Q100" s="249">
        <f t="shared" si="47"/>
        <v>-409660</v>
      </c>
      <c r="R100" s="71" t="e">
        <f t="shared" si="47"/>
        <v>#REF!</v>
      </c>
      <c r="S100" s="71" t="e">
        <f t="shared" si="47"/>
        <v>#REF!</v>
      </c>
      <c r="T100" s="71" t="e">
        <f t="shared" si="47"/>
        <v>#REF!</v>
      </c>
      <c r="U100" s="71" t="e">
        <f t="shared" si="47"/>
        <v>#REF!</v>
      </c>
      <c r="V100" s="71" t="e">
        <f t="shared" si="47"/>
        <v>#REF!</v>
      </c>
      <c r="W100" s="71" t="e">
        <f t="shared" si="47"/>
        <v>#REF!</v>
      </c>
    </row>
    <row r="101" spans="2:23" ht="12.75">
      <c r="B101" s="90" t="s">
        <v>159</v>
      </c>
      <c r="C101" s="91">
        <f>$Q101</f>
        <v>-401160</v>
      </c>
      <c r="D101" s="92">
        <f>$P101</f>
        <v>107814</v>
      </c>
      <c r="E101" s="92">
        <f>C101-D101</f>
        <v>-508974</v>
      </c>
      <c r="F101" s="93">
        <f>IF(D101&lt;&gt;0,E101/D101,0)</f>
        <v>-4.720852579442373</v>
      </c>
      <c r="G101" s="91">
        <f>$Q101</f>
        <v>-401160</v>
      </c>
      <c r="H101" s="92">
        <f>$O101</f>
        <v>-19900</v>
      </c>
      <c r="I101" s="92">
        <f>H101-G101</f>
        <v>381260</v>
      </c>
      <c r="J101" s="406">
        <f>IF(H101&lt;&gt;0,I101/H101,0)</f>
        <v>-19.158793969849246</v>
      </c>
      <c r="K101" s="419">
        <f>$P101</f>
        <v>107814</v>
      </c>
      <c r="L101" s="92">
        <f>$O101</f>
        <v>-19900</v>
      </c>
      <c r="M101" s="92">
        <f>L101-K101</f>
        <v>-127714</v>
      </c>
      <c r="N101" s="93">
        <f>IF(L101&lt;&gt;0,M101/L101,0)</f>
        <v>6.417788944723618</v>
      </c>
      <c r="O101" s="167">
        <f aca="true" t="shared" si="48" ref="O101:V101">SUM(O99:O100)</f>
        <v>-19900</v>
      </c>
      <c r="P101" s="213">
        <f t="shared" si="48"/>
        <v>107814</v>
      </c>
      <c r="Q101" s="249">
        <f t="shared" si="48"/>
        <v>-401160</v>
      </c>
      <c r="R101" s="71" t="e">
        <f>SUM(R99:R100)</f>
        <v>#REF!</v>
      </c>
      <c r="S101" s="71" t="e">
        <f t="shared" si="48"/>
        <v>#REF!</v>
      </c>
      <c r="T101" s="71" t="e">
        <f t="shared" si="48"/>
        <v>#REF!</v>
      </c>
      <c r="U101" s="71" t="e">
        <f t="shared" si="48"/>
        <v>#REF!</v>
      </c>
      <c r="V101" s="71" t="e">
        <f t="shared" si="48"/>
        <v>#REF!</v>
      </c>
      <c r="W101" s="71" t="e">
        <f>SUM(W99:W100)</f>
        <v>#REF!</v>
      </c>
    </row>
    <row r="103" ht="12.75">
      <c r="P103" s="217"/>
    </row>
    <row r="104" ht="12.75">
      <c r="P104" s="217"/>
    </row>
    <row r="105" ht="12.75">
      <c r="P105" s="217"/>
    </row>
    <row r="106" ht="12.75">
      <c r="P106" s="217"/>
    </row>
    <row r="107" ht="12.75">
      <c r="P107" s="217"/>
    </row>
  </sheetData>
  <sheetProtection/>
  <printOptions horizontalCentered="1"/>
  <pageMargins left="0" right="0" top="0.6" bottom="0.24" header="0.3" footer="0.27"/>
  <pageSetup fitToHeight="0" fitToWidth="1" horizontalDpi="600" verticalDpi="600" orientation="landscape" scale="76" r:id="rId1"/>
  <headerFooter alignWithMargins="0">
    <oddFooter>&amp;L&amp;"Helv,Regular"&amp;8&amp;D&amp;R&amp;"Helv,Regular"&amp;8&amp;F</oddFooter>
  </headerFooter>
  <rowBreaks count="1" manualBreakCount="1"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25.28125" style="0" customWidth="1"/>
    <col min="2" max="2" width="16.28125" style="0" hidden="1" customWidth="1"/>
    <col min="3" max="14" width="9.57421875" style="0" customWidth="1"/>
    <col min="15" max="15" width="11.28125" style="293" customWidth="1"/>
    <col min="16" max="16" width="12.28125" style="177" customWidth="1"/>
    <col min="17" max="17" width="11.140625" style="0" customWidth="1"/>
    <col min="18" max="18" width="2.28125" style="0" customWidth="1"/>
    <col min="19" max="19" width="39.421875" style="0" customWidth="1"/>
    <col min="20" max="20" width="9.28125" style="0" bestFit="1" customWidth="1"/>
  </cols>
  <sheetData>
    <row r="1" ht="12.75">
      <c r="I1" s="320" t="s">
        <v>402</v>
      </c>
    </row>
    <row r="2" spans="6:9" ht="12.75">
      <c r="F2" s="153">
        <f>600/12</f>
        <v>50</v>
      </c>
      <c r="I2" s="320" t="s">
        <v>526</v>
      </c>
    </row>
    <row r="3" ht="12.75">
      <c r="I3" s="147"/>
    </row>
    <row r="4" spans="3:21" ht="12.75">
      <c r="C4" s="1"/>
      <c r="K4" s="1"/>
      <c r="O4" s="294">
        <v>2024</v>
      </c>
      <c r="P4" s="178">
        <v>2023</v>
      </c>
      <c r="Q4" s="1" t="s">
        <v>0</v>
      </c>
      <c r="R4" s="1"/>
      <c r="U4" s="153"/>
    </row>
    <row r="5" spans="2:19" ht="12.75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105</v>
      </c>
      <c r="L5" s="1" t="s">
        <v>106</v>
      </c>
      <c r="M5" s="1" t="s">
        <v>107</v>
      </c>
      <c r="N5" s="1" t="s">
        <v>108</v>
      </c>
      <c r="O5" s="294" t="s">
        <v>0</v>
      </c>
      <c r="P5" s="178" t="s">
        <v>0</v>
      </c>
      <c r="Q5" s="1" t="s">
        <v>10</v>
      </c>
      <c r="R5" s="1"/>
      <c r="S5" s="1" t="s">
        <v>265</v>
      </c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94"/>
      <c r="P6" s="178"/>
      <c r="Q6" s="1"/>
      <c r="R6" s="1"/>
    </row>
    <row r="7" spans="1:16" ht="12.75" hidden="1">
      <c r="A7" t="s">
        <v>514</v>
      </c>
      <c r="O7" s="295">
        <v>20000</v>
      </c>
      <c r="P7" s="179"/>
    </row>
    <row r="8" ht="12.75" hidden="1"/>
    <row r="9" spans="1:16" ht="12.75">
      <c r="A9" t="s">
        <v>568</v>
      </c>
      <c r="C9" s="321">
        <f>ROUND($O9/12,0.01)</f>
        <v>708</v>
      </c>
      <c r="D9" s="321">
        <f aca="true" t="shared" si="0" ref="D9:M9">ROUND($O9/12,0.01)</f>
        <v>708</v>
      </c>
      <c r="E9" s="321">
        <f t="shared" si="0"/>
        <v>708</v>
      </c>
      <c r="F9" s="321">
        <f t="shared" si="0"/>
        <v>708</v>
      </c>
      <c r="G9" s="321">
        <f t="shared" si="0"/>
        <v>708</v>
      </c>
      <c r="H9" s="321">
        <f t="shared" si="0"/>
        <v>708</v>
      </c>
      <c r="I9" s="321">
        <f t="shared" si="0"/>
        <v>708</v>
      </c>
      <c r="J9" s="321">
        <f t="shared" si="0"/>
        <v>708</v>
      </c>
      <c r="K9" s="321">
        <f t="shared" si="0"/>
        <v>708</v>
      </c>
      <c r="L9" s="321">
        <f t="shared" si="0"/>
        <v>708</v>
      </c>
      <c r="M9" s="321">
        <f t="shared" si="0"/>
        <v>708</v>
      </c>
      <c r="N9" s="321">
        <f>O9-SUM(C9:M9)</f>
        <v>712</v>
      </c>
      <c r="O9" s="354">
        <v>8500</v>
      </c>
      <c r="P9" s="177">
        <v>20000</v>
      </c>
    </row>
    <row r="10" ht="12.75"/>
    <row r="11" ht="12.75">
      <c r="A11" s="2" t="s">
        <v>11</v>
      </c>
    </row>
    <row r="12" spans="1:18" ht="12.75">
      <c r="A12" s="2" t="s">
        <v>12</v>
      </c>
      <c r="B12" s="2" t="s">
        <v>13</v>
      </c>
      <c r="C12" s="321">
        <f>ROUND($O12/12,0.01)</f>
        <v>114400</v>
      </c>
      <c r="D12" s="321">
        <f aca="true" t="shared" si="1" ref="D12:M12">ROUND($O12/12,0.01)</f>
        <v>114400</v>
      </c>
      <c r="E12" s="321">
        <f t="shared" si="1"/>
        <v>114400</v>
      </c>
      <c r="F12" s="321">
        <f t="shared" si="1"/>
        <v>114400</v>
      </c>
      <c r="G12" s="321">
        <f t="shared" si="1"/>
        <v>114400</v>
      </c>
      <c r="H12" s="321">
        <f t="shared" si="1"/>
        <v>114400</v>
      </c>
      <c r="I12" s="321">
        <f t="shared" si="1"/>
        <v>114400</v>
      </c>
      <c r="J12" s="321">
        <f t="shared" si="1"/>
        <v>114400</v>
      </c>
      <c r="K12" s="321">
        <f t="shared" si="1"/>
        <v>114400</v>
      </c>
      <c r="L12" s="321">
        <f t="shared" si="1"/>
        <v>114400</v>
      </c>
      <c r="M12" s="321">
        <f t="shared" si="1"/>
        <v>114400</v>
      </c>
      <c r="N12" s="321">
        <f>O12-SUM(C12:M12)</f>
        <v>114398.30000000005</v>
      </c>
      <c r="O12" s="322">
        <f>O73-O13-O14+O9</f>
        <v>1372798.3</v>
      </c>
      <c r="P12" s="323">
        <v>1288794.5</v>
      </c>
      <c r="Q12" s="321">
        <f>O12-P12</f>
        <v>84003.80000000005</v>
      </c>
      <c r="R12" s="3"/>
    </row>
    <row r="13" spans="1:20" ht="12.75">
      <c r="A13" s="2" t="s">
        <v>14</v>
      </c>
      <c r="B13" s="2" t="s">
        <v>15</v>
      </c>
      <c r="C13" s="321">
        <v>12</v>
      </c>
      <c r="D13" s="321">
        <v>12</v>
      </c>
      <c r="E13" s="321">
        <v>12</v>
      </c>
      <c r="F13" s="321">
        <v>12</v>
      </c>
      <c r="G13" s="321">
        <v>12</v>
      </c>
      <c r="H13" s="321">
        <v>12</v>
      </c>
      <c r="I13" s="321">
        <v>12</v>
      </c>
      <c r="J13" s="321">
        <v>12</v>
      </c>
      <c r="K13" s="321">
        <v>12</v>
      </c>
      <c r="L13" s="321">
        <v>12</v>
      </c>
      <c r="M13" s="321">
        <v>12</v>
      </c>
      <c r="N13" s="321">
        <v>12</v>
      </c>
      <c r="O13" s="322">
        <f>SUM(C13:N13)</f>
        <v>144</v>
      </c>
      <c r="P13" s="323">
        <v>144</v>
      </c>
      <c r="Q13" s="321">
        <f>O13-P13</f>
        <v>0</v>
      </c>
      <c r="R13" s="3"/>
      <c r="T13">
        <v>1288795</v>
      </c>
    </row>
    <row r="14" spans="1:23" ht="12.75">
      <c r="A14" s="151" t="s">
        <v>371</v>
      </c>
      <c r="B14" s="2" t="s">
        <v>16</v>
      </c>
      <c r="C14" s="321">
        <f>-ROUND(('VI offset'!$C21/12),0.01)</f>
        <v>1834</v>
      </c>
      <c r="D14" s="321">
        <f>-ROUND(('VI offset'!$C21/12),0.01)</f>
        <v>1834</v>
      </c>
      <c r="E14" s="321">
        <f>-ROUND(('VI offset'!$C21/12),0.01)</f>
        <v>1834</v>
      </c>
      <c r="F14" s="321">
        <f>-ROUND(('VI offset'!$C21/12),0.01)</f>
        <v>1834</v>
      </c>
      <c r="G14" s="321">
        <f>-ROUND(('VI offset'!$C21/12),0.01)</f>
        <v>1834</v>
      </c>
      <c r="H14" s="321">
        <f>-ROUND(('VI offset'!$C21/12),0.01)</f>
        <v>1834</v>
      </c>
      <c r="I14" s="321">
        <f>-ROUND(('VI offset'!$C21/12),0.01)</f>
        <v>1834</v>
      </c>
      <c r="J14" s="321">
        <f>-ROUND(('VI offset'!$C21/12),0.01)</f>
        <v>1834</v>
      </c>
      <c r="K14" s="321">
        <f>-ROUND(('VI offset'!$C21/12),0.01)</f>
        <v>1834</v>
      </c>
      <c r="L14" s="321">
        <f>-ROUND(('VI offset'!$C21/12),0.01)</f>
        <v>1834</v>
      </c>
      <c r="M14" s="321">
        <f>-ROUND(('VI offset'!$C21/12),0.01)</f>
        <v>1834</v>
      </c>
      <c r="N14" s="321">
        <f>-ROUND(('VI offset'!$C21/12),0.01)</f>
        <v>1834</v>
      </c>
      <c r="O14" s="322">
        <f>SUM(C14:N14)</f>
        <v>22008</v>
      </c>
      <c r="P14" s="323">
        <v>19848</v>
      </c>
      <c r="Q14" s="321">
        <f>O14-P14</f>
        <v>2160</v>
      </c>
      <c r="R14" s="3"/>
      <c r="T14" s="304">
        <f>O12</f>
        <v>1372798.3</v>
      </c>
      <c r="W14">
        <f>337*8</f>
        <v>2696</v>
      </c>
    </row>
    <row r="15" spans="2:18" ht="12.75">
      <c r="B15" s="2"/>
      <c r="C15" s="324" t="s">
        <v>17</v>
      </c>
      <c r="D15" s="324" t="s">
        <v>17</v>
      </c>
      <c r="E15" s="324" t="s">
        <v>17</v>
      </c>
      <c r="F15" s="324" t="s">
        <v>17</v>
      </c>
      <c r="G15" s="324" t="s">
        <v>17</v>
      </c>
      <c r="H15" s="324" t="s">
        <v>17</v>
      </c>
      <c r="I15" s="324" t="s">
        <v>17</v>
      </c>
      <c r="J15" s="324" t="s">
        <v>17</v>
      </c>
      <c r="K15" s="324" t="s">
        <v>17</v>
      </c>
      <c r="L15" s="324" t="s">
        <v>17</v>
      </c>
      <c r="M15" s="324" t="s">
        <v>17</v>
      </c>
      <c r="N15" s="324" t="s">
        <v>17</v>
      </c>
      <c r="O15" s="325" t="s">
        <v>17</v>
      </c>
      <c r="P15" s="326" t="s">
        <v>17</v>
      </c>
      <c r="Q15" s="324" t="s">
        <v>17</v>
      </c>
      <c r="R15" s="4"/>
    </row>
    <row r="16" spans="2:17" ht="12.75">
      <c r="B16" s="2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27"/>
      <c r="P16" s="328"/>
      <c r="Q16" s="304"/>
    </row>
    <row r="17" spans="1:18" ht="12.75">
      <c r="A17" s="2" t="s">
        <v>18</v>
      </c>
      <c r="B17" s="2"/>
      <c r="C17" s="321">
        <f>SUM(C12:C16)</f>
        <v>116246</v>
      </c>
      <c r="D17" s="321">
        <f aca="true" t="shared" si="2" ref="D17:Q17">SUM(D12:D16)</f>
        <v>116246</v>
      </c>
      <c r="E17" s="321">
        <f t="shared" si="2"/>
        <v>116246</v>
      </c>
      <c r="F17" s="321">
        <f t="shared" si="2"/>
        <v>116246</v>
      </c>
      <c r="G17" s="321">
        <f t="shared" si="2"/>
        <v>116246</v>
      </c>
      <c r="H17" s="321">
        <f t="shared" si="2"/>
        <v>116246</v>
      </c>
      <c r="I17" s="321">
        <f t="shared" si="2"/>
        <v>116246</v>
      </c>
      <c r="J17" s="321">
        <f t="shared" si="2"/>
        <v>116246</v>
      </c>
      <c r="K17" s="321">
        <f t="shared" si="2"/>
        <v>116246</v>
      </c>
      <c r="L17" s="321">
        <f t="shared" si="2"/>
        <v>116246</v>
      </c>
      <c r="M17" s="321">
        <f t="shared" si="2"/>
        <v>116246</v>
      </c>
      <c r="N17" s="321">
        <f t="shared" si="2"/>
        <v>116244.30000000005</v>
      </c>
      <c r="O17" s="322">
        <f t="shared" si="2"/>
        <v>1394950.3</v>
      </c>
      <c r="P17" s="323">
        <f t="shared" si="2"/>
        <v>1308786.5</v>
      </c>
      <c r="Q17" s="321">
        <f t="shared" si="2"/>
        <v>86163.80000000005</v>
      </c>
      <c r="R17" s="3"/>
    </row>
    <row r="18" spans="2:22" ht="12.75">
      <c r="B18" s="2"/>
      <c r="C18" s="324" t="s">
        <v>17</v>
      </c>
      <c r="D18" s="324" t="s">
        <v>17</v>
      </c>
      <c r="E18" s="324" t="s">
        <v>17</v>
      </c>
      <c r="F18" s="324" t="s">
        <v>17</v>
      </c>
      <c r="G18" s="324" t="s">
        <v>17</v>
      </c>
      <c r="H18" s="324" t="s">
        <v>17</v>
      </c>
      <c r="I18" s="324" t="s">
        <v>17</v>
      </c>
      <c r="J18" s="324" t="s">
        <v>17</v>
      </c>
      <c r="K18" s="324" t="s">
        <v>17</v>
      </c>
      <c r="L18" s="324" t="s">
        <v>17</v>
      </c>
      <c r="M18" s="324" t="s">
        <v>17</v>
      </c>
      <c r="N18" s="324" t="s">
        <v>17</v>
      </c>
      <c r="O18" s="325" t="s">
        <v>17</v>
      </c>
      <c r="P18" s="326" t="s">
        <v>17</v>
      </c>
      <c r="Q18" s="324" t="s">
        <v>17</v>
      </c>
      <c r="R18" s="4"/>
      <c r="T18">
        <f>T13-T14</f>
        <v>-84003.30000000005</v>
      </c>
      <c r="V18">
        <f>2700/12</f>
        <v>225</v>
      </c>
    </row>
    <row r="19" spans="2:17" ht="12.75">
      <c r="B19" s="2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27"/>
      <c r="P19" s="328"/>
      <c r="Q19" s="304"/>
    </row>
    <row r="20" spans="1:17" ht="12.75">
      <c r="A20" s="271" t="s">
        <v>19</v>
      </c>
      <c r="B20" s="2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27"/>
      <c r="P20" s="328"/>
      <c r="Q20" s="304"/>
    </row>
    <row r="21" spans="1:17" ht="12.75">
      <c r="A21" s="289"/>
      <c r="B21" s="2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27"/>
      <c r="P21" s="328"/>
      <c r="Q21" s="304"/>
    </row>
    <row r="22" spans="1:17" ht="12.75">
      <c r="A22" s="363" t="s">
        <v>25</v>
      </c>
      <c r="B22" s="2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27"/>
      <c r="P22" s="328"/>
      <c r="Q22" s="304"/>
    </row>
    <row r="23" spans="1:18" ht="12.75">
      <c r="A23" s="359" t="s">
        <v>26</v>
      </c>
      <c r="B23" s="2" t="s">
        <v>27</v>
      </c>
      <c r="C23" s="321">
        <v>1850</v>
      </c>
      <c r="D23" s="321">
        <v>1850</v>
      </c>
      <c r="E23" s="321">
        <v>1850</v>
      </c>
      <c r="F23" s="321">
        <v>1850</v>
      </c>
      <c r="G23" s="321">
        <v>1850</v>
      </c>
      <c r="H23" s="321">
        <v>1850</v>
      </c>
      <c r="I23" s="321">
        <v>1850</v>
      </c>
      <c r="J23" s="321">
        <v>1850</v>
      </c>
      <c r="K23" s="321">
        <v>1850</v>
      </c>
      <c r="L23" s="321">
        <v>1850</v>
      </c>
      <c r="M23" s="321">
        <v>1850</v>
      </c>
      <c r="N23" s="321">
        <v>1850</v>
      </c>
      <c r="O23" s="322">
        <f>SUM(C23:N23)</f>
        <v>22200</v>
      </c>
      <c r="P23" s="329">
        <v>22200</v>
      </c>
      <c r="Q23" s="321">
        <f>P23-O23</f>
        <v>0</v>
      </c>
      <c r="R23" s="3"/>
    </row>
    <row r="24" spans="1:18" ht="12.75">
      <c r="A24" s="360" t="s">
        <v>28</v>
      </c>
      <c r="B24" s="2" t="s">
        <v>29</v>
      </c>
      <c r="C24" s="321">
        <v>0</v>
      </c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2">
        <f>SUM(C24:N24)</f>
        <v>0</v>
      </c>
      <c r="P24" s="329">
        <v>0</v>
      </c>
      <c r="Q24" s="321">
        <f aca="true" t="shared" si="3" ref="Q24:Q38">P24-O24</f>
        <v>0</v>
      </c>
      <c r="R24" s="3"/>
    </row>
    <row r="25" spans="1:18" ht="12.75">
      <c r="A25" s="359" t="s">
        <v>30</v>
      </c>
      <c r="B25" s="2" t="s">
        <v>31</v>
      </c>
      <c r="C25" s="321">
        <v>1400</v>
      </c>
      <c r="D25" s="321">
        <v>1400</v>
      </c>
      <c r="E25" s="321">
        <v>1400</v>
      </c>
      <c r="F25" s="321">
        <v>1400</v>
      </c>
      <c r="G25" s="321">
        <v>1400</v>
      </c>
      <c r="H25" s="321">
        <v>1400</v>
      </c>
      <c r="I25" s="321">
        <v>1400</v>
      </c>
      <c r="J25" s="321">
        <v>1400</v>
      </c>
      <c r="K25" s="321">
        <v>1500</v>
      </c>
      <c r="L25" s="321">
        <v>1400</v>
      </c>
      <c r="M25" s="321">
        <v>1400</v>
      </c>
      <c r="N25" s="321">
        <v>1400</v>
      </c>
      <c r="O25" s="322">
        <f aca="true" t="shared" si="4" ref="O25:O38">SUM(C25:N25)</f>
        <v>16900</v>
      </c>
      <c r="P25" s="329">
        <v>16900</v>
      </c>
      <c r="Q25" s="321">
        <f t="shared" si="3"/>
        <v>0</v>
      </c>
      <c r="R25" s="3"/>
    </row>
    <row r="26" spans="1:18" ht="12.75">
      <c r="A26" s="359" t="s">
        <v>233</v>
      </c>
      <c r="B26" s="2" t="s">
        <v>251</v>
      </c>
      <c r="C26" s="321">
        <v>0</v>
      </c>
      <c r="D26" s="321">
        <v>0</v>
      </c>
      <c r="E26" s="321">
        <v>2900</v>
      </c>
      <c r="F26" s="321"/>
      <c r="G26" s="321">
        <v>0</v>
      </c>
      <c r="H26" s="321">
        <v>1900</v>
      </c>
      <c r="I26" s="321">
        <v>0</v>
      </c>
      <c r="J26" s="321">
        <v>0</v>
      </c>
      <c r="K26" s="321">
        <v>0</v>
      </c>
      <c r="L26" s="321">
        <v>0</v>
      </c>
      <c r="M26" s="321">
        <v>0</v>
      </c>
      <c r="N26" s="321">
        <v>0</v>
      </c>
      <c r="O26" s="322">
        <f t="shared" si="4"/>
        <v>4800</v>
      </c>
      <c r="P26" s="329">
        <v>6400</v>
      </c>
      <c r="Q26" s="321">
        <f t="shared" si="3"/>
        <v>1600</v>
      </c>
      <c r="R26" s="3"/>
    </row>
    <row r="27" spans="1:18" ht="12.75">
      <c r="A27" s="360" t="s">
        <v>594</v>
      </c>
      <c r="B27" s="151" t="s">
        <v>595</v>
      </c>
      <c r="C27" s="321">
        <v>0</v>
      </c>
      <c r="D27" s="321">
        <v>0</v>
      </c>
      <c r="E27" s="321">
        <v>0</v>
      </c>
      <c r="F27" s="321">
        <v>1700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321">
        <v>0</v>
      </c>
      <c r="N27" s="321">
        <v>0</v>
      </c>
      <c r="O27" s="322">
        <f t="shared" si="4"/>
        <v>1700</v>
      </c>
      <c r="P27" s="329">
        <v>0</v>
      </c>
      <c r="Q27" s="321">
        <f t="shared" si="3"/>
        <v>-1700</v>
      </c>
      <c r="R27" s="3"/>
    </row>
    <row r="28" spans="1:18" ht="12.75">
      <c r="A28" s="359" t="s">
        <v>32</v>
      </c>
      <c r="B28" s="2" t="s">
        <v>33</v>
      </c>
      <c r="C28" s="321">
        <v>0</v>
      </c>
      <c r="D28" s="321">
        <v>0</v>
      </c>
      <c r="E28" s="321">
        <v>700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7100</v>
      </c>
      <c r="L28" s="321">
        <v>0</v>
      </c>
      <c r="M28" s="321">
        <v>0</v>
      </c>
      <c r="N28" s="321">
        <v>0</v>
      </c>
      <c r="O28" s="322">
        <f t="shared" si="4"/>
        <v>7800</v>
      </c>
      <c r="P28" s="329">
        <v>7800</v>
      </c>
      <c r="Q28" s="321">
        <f t="shared" si="3"/>
        <v>0</v>
      </c>
      <c r="R28" s="3"/>
    </row>
    <row r="29" spans="1:20" ht="12.75">
      <c r="A29" s="359" t="s">
        <v>34</v>
      </c>
      <c r="B29" s="2" t="s">
        <v>35</v>
      </c>
      <c r="C29" s="321">
        <v>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0</v>
      </c>
      <c r="O29" s="322">
        <f t="shared" si="4"/>
        <v>0</v>
      </c>
      <c r="P29" s="329">
        <v>0</v>
      </c>
      <c r="Q29" s="321">
        <f t="shared" si="3"/>
        <v>0</v>
      </c>
      <c r="R29" s="3"/>
      <c r="T29">
        <v>40000</v>
      </c>
    </row>
    <row r="30" spans="1:20" ht="12.75">
      <c r="A30" s="359" t="s">
        <v>36</v>
      </c>
      <c r="B30" s="2" t="s">
        <v>37</v>
      </c>
      <c r="C30" s="321">
        <v>50</v>
      </c>
      <c r="D30" s="321">
        <v>50</v>
      </c>
      <c r="E30" s="321">
        <v>50</v>
      </c>
      <c r="F30" s="321">
        <v>50</v>
      </c>
      <c r="G30" s="321">
        <v>50</v>
      </c>
      <c r="H30" s="321">
        <v>50</v>
      </c>
      <c r="I30" s="321">
        <v>50</v>
      </c>
      <c r="J30" s="321">
        <v>50</v>
      </c>
      <c r="K30" s="321">
        <v>50</v>
      </c>
      <c r="L30" s="321">
        <v>50</v>
      </c>
      <c r="M30" s="321">
        <v>50</v>
      </c>
      <c r="N30" s="321">
        <v>50</v>
      </c>
      <c r="O30" s="322">
        <f t="shared" si="4"/>
        <v>600</v>
      </c>
      <c r="P30" s="329">
        <v>600</v>
      </c>
      <c r="Q30" s="321">
        <f t="shared" si="3"/>
        <v>0</v>
      </c>
      <c r="R30" s="3"/>
      <c r="T30">
        <v>145000</v>
      </c>
    </row>
    <row r="31" spans="1:20" ht="12.75">
      <c r="A31" s="361" t="s">
        <v>249</v>
      </c>
      <c r="B31" s="2" t="s">
        <v>252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2">
        <f t="shared" si="4"/>
        <v>0</v>
      </c>
      <c r="P31" s="329">
        <v>0</v>
      </c>
      <c r="Q31" s="321">
        <f>P31-O31</f>
        <v>0</v>
      </c>
      <c r="R31" s="3"/>
      <c r="T31">
        <f>SUM(T29:T30)</f>
        <v>185000</v>
      </c>
    </row>
    <row r="32" spans="1:18" ht="12.75">
      <c r="A32" s="361" t="s">
        <v>267</v>
      </c>
      <c r="B32" s="2" t="s">
        <v>294</v>
      </c>
      <c r="C32" s="321">
        <v>700</v>
      </c>
      <c r="D32" s="321">
        <v>700</v>
      </c>
      <c r="E32" s="321">
        <v>700</v>
      </c>
      <c r="F32" s="321">
        <v>700</v>
      </c>
      <c r="G32" s="321">
        <v>700</v>
      </c>
      <c r="H32" s="321">
        <v>6000</v>
      </c>
      <c r="I32" s="321">
        <v>700</v>
      </c>
      <c r="J32" s="321">
        <v>700</v>
      </c>
      <c r="K32" s="321">
        <v>700</v>
      </c>
      <c r="L32" s="321">
        <v>700</v>
      </c>
      <c r="M32" s="321">
        <v>700</v>
      </c>
      <c r="N32" s="321">
        <v>700</v>
      </c>
      <c r="O32" s="322">
        <f t="shared" si="4"/>
        <v>13700</v>
      </c>
      <c r="P32" s="329">
        <v>13700</v>
      </c>
      <c r="Q32" s="321">
        <f t="shared" si="3"/>
        <v>0</v>
      </c>
      <c r="R32" s="3"/>
    </row>
    <row r="33" spans="1:18" ht="12.75">
      <c r="A33" s="2" t="s">
        <v>38</v>
      </c>
      <c r="B33" s="2" t="s">
        <v>39</v>
      </c>
      <c r="C33" s="321">
        <v>2000</v>
      </c>
      <c r="D33" s="321">
        <v>2000</v>
      </c>
      <c r="E33" s="321">
        <v>2000</v>
      </c>
      <c r="F33" s="321">
        <v>2000</v>
      </c>
      <c r="G33" s="321">
        <v>2000</v>
      </c>
      <c r="H33" s="321">
        <v>2000</v>
      </c>
      <c r="I33" s="321">
        <v>2000</v>
      </c>
      <c r="J33" s="321">
        <v>2000</v>
      </c>
      <c r="K33" s="321">
        <v>2000</v>
      </c>
      <c r="L33" s="321">
        <v>2000</v>
      </c>
      <c r="M33" s="321">
        <v>2000</v>
      </c>
      <c r="N33" s="321">
        <v>2000</v>
      </c>
      <c r="O33" s="322">
        <f t="shared" si="4"/>
        <v>24000</v>
      </c>
      <c r="P33" s="329">
        <v>24000</v>
      </c>
      <c r="Q33" s="321">
        <f t="shared" si="3"/>
        <v>0</v>
      </c>
      <c r="R33" s="3"/>
    </row>
    <row r="34" spans="1:18" ht="12.75">
      <c r="A34" s="2" t="s">
        <v>527</v>
      </c>
      <c r="B34" s="2" t="s">
        <v>595</v>
      </c>
      <c r="C34" s="321">
        <v>50</v>
      </c>
      <c r="D34" s="321">
        <v>50</v>
      </c>
      <c r="E34" s="321">
        <v>50</v>
      </c>
      <c r="F34" s="321">
        <v>50</v>
      </c>
      <c r="G34" s="321">
        <v>50</v>
      </c>
      <c r="H34" s="321">
        <v>50</v>
      </c>
      <c r="I34" s="321">
        <v>50</v>
      </c>
      <c r="J34" s="321">
        <v>50</v>
      </c>
      <c r="K34" s="321">
        <v>50</v>
      </c>
      <c r="L34" s="321">
        <v>50</v>
      </c>
      <c r="M34" s="321">
        <v>50</v>
      </c>
      <c r="N34" s="321">
        <v>50</v>
      </c>
      <c r="O34" s="322">
        <f t="shared" si="4"/>
        <v>600</v>
      </c>
      <c r="P34" s="329">
        <v>300</v>
      </c>
      <c r="Q34" s="321">
        <f t="shared" si="3"/>
        <v>-300</v>
      </c>
      <c r="R34" s="3"/>
    </row>
    <row r="35" spans="1:18" ht="25.5">
      <c r="A35" s="392" t="s">
        <v>567</v>
      </c>
      <c r="B35" s="280" t="s">
        <v>40</v>
      </c>
      <c r="C35" s="321">
        <v>2673</v>
      </c>
      <c r="D35" s="321">
        <v>2673</v>
      </c>
      <c r="E35" s="321">
        <v>2673</v>
      </c>
      <c r="F35" s="321">
        <f>$E35*1.15</f>
        <v>3073.95</v>
      </c>
      <c r="G35" s="321">
        <f aca="true" t="shared" si="5" ref="G35:N35">$E35*1.15</f>
        <v>3073.95</v>
      </c>
      <c r="H35" s="321">
        <f t="shared" si="5"/>
        <v>3073.95</v>
      </c>
      <c r="I35" s="321">
        <f t="shared" si="5"/>
        <v>3073.95</v>
      </c>
      <c r="J35" s="321">
        <f t="shared" si="5"/>
        <v>3073.95</v>
      </c>
      <c r="K35" s="321">
        <f t="shared" si="5"/>
        <v>3073.95</v>
      </c>
      <c r="L35" s="321">
        <f t="shared" si="5"/>
        <v>3073.95</v>
      </c>
      <c r="M35" s="321">
        <f t="shared" si="5"/>
        <v>3073.95</v>
      </c>
      <c r="N35" s="321">
        <f t="shared" si="5"/>
        <v>3073.95</v>
      </c>
      <c r="O35" s="322">
        <f t="shared" si="4"/>
        <v>35684.55</v>
      </c>
      <c r="P35" s="329">
        <v>0</v>
      </c>
      <c r="Q35" s="321">
        <f t="shared" si="3"/>
        <v>-35684.55</v>
      </c>
      <c r="R35" s="3"/>
    </row>
    <row r="36" spans="1:18" ht="12.75">
      <c r="A36" s="2" t="s">
        <v>419</v>
      </c>
      <c r="B36" s="2" t="s">
        <v>420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2">
        <f>SUM(C36:N36)</f>
        <v>0</v>
      </c>
      <c r="P36" s="329">
        <v>0</v>
      </c>
      <c r="Q36" s="321">
        <f t="shared" si="3"/>
        <v>0</v>
      </c>
      <c r="R36" s="3"/>
    </row>
    <row r="37" spans="1:18" ht="11.25" customHeight="1">
      <c r="A37" s="2" t="s">
        <v>532</v>
      </c>
      <c r="B37" s="2" t="s">
        <v>40</v>
      </c>
      <c r="C37" s="321">
        <v>11954</v>
      </c>
      <c r="D37" s="321">
        <v>11954</v>
      </c>
      <c r="E37" s="321">
        <v>11954</v>
      </c>
      <c r="F37" s="321">
        <f>11954</f>
        <v>11954</v>
      </c>
      <c r="G37" s="321">
        <f>$E37*1.15</f>
        <v>13747.099999999999</v>
      </c>
      <c r="H37" s="321">
        <f aca="true" t="shared" si="6" ref="H37:N38">$E37*1.15</f>
        <v>13747.099999999999</v>
      </c>
      <c r="I37" s="321">
        <f t="shared" si="6"/>
        <v>13747.099999999999</v>
      </c>
      <c r="J37" s="321">
        <f t="shared" si="6"/>
        <v>13747.099999999999</v>
      </c>
      <c r="K37" s="321">
        <f t="shared" si="6"/>
        <v>13747.099999999999</v>
      </c>
      <c r="L37" s="321">
        <f t="shared" si="6"/>
        <v>13747.099999999999</v>
      </c>
      <c r="M37" s="321">
        <f t="shared" si="6"/>
        <v>13747.099999999999</v>
      </c>
      <c r="N37" s="321">
        <f t="shared" si="6"/>
        <v>13747.099999999999</v>
      </c>
      <c r="O37" s="322">
        <f t="shared" si="4"/>
        <v>157792.80000000002</v>
      </c>
      <c r="P37" s="329">
        <v>210000</v>
      </c>
      <c r="Q37" s="321">
        <f t="shared" si="3"/>
        <v>52207.19999999998</v>
      </c>
      <c r="R37" s="3"/>
    </row>
    <row r="38" spans="1:18" ht="12.75">
      <c r="A38" s="2" t="s">
        <v>41</v>
      </c>
      <c r="B38" s="2" t="s">
        <v>295</v>
      </c>
      <c r="C38" s="321">
        <v>117</v>
      </c>
      <c r="D38" s="321">
        <v>117</v>
      </c>
      <c r="E38" s="321">
        <v>117</v>
      </c>
      <c r="F38" s="321">
        <f>$E38*1.15</f>
        <v>134.54999999999998</v>
      </c>
      <c r="G38" s="321">
        <f>$E38*1.15</f>
        <v>134.54999999999998</v>
      </c>
      <c r="H38" s="321">
        <f t="shared" si="6"/>
        <v>134.54999999999998</v>
      </c>
      <c r="I38" s="321">
        <f t="shared" si="6"/>
        <v>134.54999999999998</v>
      </c>
      <c r="J38" s="321">
        <f t="shared" si="6"/>
        <v>134.54999999999998</v>
      </c>
      <c r="K38" s="321">
        <f t="shared" si="6"/>
        <v>134.54999999999998</v>
      </c>
      <c r="L38" s="321">
        <f t="shared" si="6"/>
        <v>134.54999999999998</v>
      </c>
      <c r="M38" s="321">
        <f t="shared" si="6"/>
        <v>134.54999999999998</v>
      </c>
      <c r="N38" s="321">
        <f t="shared" si="6"/>
        <v>134.54999999999998</v>
      </c>
      <c r="O38" s="322">
        <f t="shared" si="4"/>
        <v>1561.9499999999996</v>
      </c>
      <c r="P38" s="329">
        <v>2284</v>
      </c>
      <c r="Q38" s="321">
        <f t="shared" si="3"/>
        <v>722.0500000000004</v>
      </c>
      <c r="R38" s="3"/>
    </row>
    <row r="39" spans="2:17" ht="12.75">
      <c r="B39" s="2"/>
      <c r="C39" s="324" t="s">
        <v>17</v>
      </c>
      <c r="D39" s="324" t="s">
        <v>17</v>
      </c>
      <c r="E39" s="324" t="s">
        <v>17</v>
      </c>
      <c r="F39" s="324" t="s">
        <v>17</v>
      </c>
      <c r="G39" s="324" t="s">
        <v>17</v>
      </c>
      <c r="H39" s="324" t="s">
        <v>17</v>
      </c>
      <c r="I39" s="324" t="s">
        <v>17</v>
      </c>
      <c r="J39" s="324" t="s">
        <v>17</v>
      </c>
      <c r="K39" s="324" t="s">
        <v>17</v>
      </c>
      <c r="L39" s="324" t="s">
        <v>17</v>
      </c>
      <c r="M39" s="324" t="s">
        <v>17</v>
      </c>
      <c r="N39" s="324" t="s">
        <v>17</v>
      </c>
      <c r="O39" s="325" t="s">
        <v>17</v>
      </c>
      <c r="P39" s="326" t="s">
        <v>17</v>
      </c>
      <c r="Q39" s="362"/>
    </row>
    <row r="40" spans="1:18" ht="12.75">
      <c r="A40" s="271" t="s">
        <v>42</v>
      </c>
      <c r="B40" s="2"/>
      <c r="C40" s="321">
        <f aca="true" t="shared" si="7" ref="C40:Q40">SUM(C23:C39)</f>
        <v>20794</v>
      </c>
      <c r="D40" s="321">
        <f t="shared" si="7"/>
        <v>20794</v>
      </c>
      <c r="E40" s="321">
        <f t="shared" si="7"/>
        <v>24394</v>
      </c>
      <c r="F40" s="321">
        <f t="shared" si="7"/>
        <v>22912.5</v>
      </c>
      <c r="G40" s="321">
        <f t="shared" si="7"/>
        <v>23005.6</v>
      </c>
      <c r="H40" s="321">
        <f t="shared" si="7"/>
        <v>30205.6</v>
      </c>
      <c r="I40" s="321">
        <f t="shared" si="7"/>
        <v>23005.6</v>
      </c>
      <c r="J40" s="321">
        <f t="shared" si="7"/>
        <v>23005.6</v>
      </c>
      <c r="K40" s="321">
        <f t="shared" si="7"/>
        <v>30205.6</v>
      </c>
      <c r="L40" s="321">
        <f t="shared" si="7"/>
        <v>23005.6</v>
      </c>
      <c r="M40" s="321">
        <f t="shared" si="7"/>
        <v>23005.6</v>
      </c>
      <c r="N40" s="321">
        <f t="shared" si="7"/>
        <v>23005.6</v>
      </c>
      <c r="O40" s="322">
        <f t="shared" si="7"/>
        <v>287339.30000000005</v>
      </c>
      <c r="P40" s="323">
        <f t="shared" si="7"/>
        <v>304184</v>
      </c>
      <c r="Q40" s="321">
        <f t="shared" si="7"/>
        <v>16844.69999999998</v>
      </c>
      <c r="R40" s="3"/>
    </row>
    <row r="41" spans="2:18" ht="12.75">
      <c r="B41" s="2"/>
      <c r="C41" s="324" t="s">
        <v>17</v>
      </c>
      <c r="D41" s="324" t="s">
        <v>17</v>
      </c>
      <c r="E41" s="324" t="s">
        <v>17</v>
      </c>
      <c r="F41" s="324" t="s">
        <v>17</v>
      </c>
      <c r="G41" s="324" t="s">
        <v>17</v>
      </c>
      <c r="H41" s="324" t="s">
        <v>17</v>
      </c>
      <c r="I41" s="324" t="s">
        <v>17</v>
      </c>
      <c r="J41" s="324" t="s">
        <v>17</v>
      </c>
      <c r="K41" s="324" t="s">
        <v>17</v>
      </c>
      <c r="L41" s="324" t="s">
        <v>17</v>
      </c>
      <c r="M41" s="324" t="s">
        <v>17</v>
      </c>
      <c r="N41" s="324" t="s">
        <v>17</v>
      </c>
      <c r="O41" s="325" t="s">
        <v>17</v>
      </c>
      <c r="P41" s="326" t="s">
        <v>17</v>
      </c>
      <c r="Q41" s="324" t="s">
        <v>17</v>
      </c>
      <c r="R41" s="4"/>
    </row>
    <row r="42" spans="2:17" ht="12.75">
      <c r="B42" s="2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27"/>
      <c r="P42" s="328"/>
      <c r="Q42" s="304"/>
    </row>
    <row r="43" spans="1:17" ht="12.75">
      <c r="A43" s="271" t="s">
        <v>43</v>
      </c>
      <c r="B43" s="2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27"/>
      <c r="P43" s="328"/>
      <c r="Q43" s="304"/>
    </row>
    <row r="44" spans="1:18" ht="12.75">
      <c r="A44" s="2" t="s">
        <v>44</v>
      </c>
      <c r="B44" s="2" t="s">
        <v>45</v>
      </c>
      <c r="C44" s="321">
        <v>1560</v>
      </c>
      <c r="D44" s="321">
        <v>1560</v>
      </c>
      <c r="E44" s="321">
        <v>1560</v>
      </c>
      <c r="F44" s="321">
        <v>1560</v>
      </c>
      <c r="G44" s="321">
        <v>1560</v>
      </c>
      <c r="H44" s="321">
        <v>1560</v>
      </c>
      <c r="I44" s="321">
        <v>1560</v>
      </c>
      <c r="J44" s="321">
        <v>1560</v>
      </c>
      <c r="K44" s="321">
        <v>1560</v>
      </c>
      <c r="L44" s="321">
        <v>1560</v>
      </c>
      <c r="M44" s="321">
        <v>1560</v>
      </c>
      <c r="N44" s="321">
        <v>1560</v>
      </c>
      <c r="O44" s="322">
        <f>SUM(C44:N44)</f>
        <v>18720</v>
      </c>
      <c r="P44" s="323">
        <v>2000</v>
      </c>
      <c r="Q44" s="321">
        <f aca="true" t="shared" si="8" ref="Q44:Q55">P44-O44</f>
        <v>-16720</v>
      </c>
      <c r="R44" s="3"/>
    </row>
    <row r="45" spans="1:19" ht="12.75">
      <c r="A45" s="359" t="s">
        <v>46</v>
      </c>
      <c r="B45" s="2" t="s">
        <v>47</v>
      </c>
      <c r="C45" s="321">
        <v>400</v>
      </c>
      <c r="D45" s="321">
        <v>400</v>
      </c>
      <c r="E45" s="321">
        <v>400</v>
      </c>
      <c r="F45" s="321">
        <v>400</v>
      </c>
      <c r="G45" s="321">
        <v>400</v>
      </c>
      <c r="H45" s="321">
        <v>400</v>
      </c>
      <c r="I45" s="321">
        <v>400</v>
      </c>
      <c r="J45" s="321">
        <v>400</v>
      </c>
      <c r="K45" s="321">
        <v>400</v>
      </c>
      <c r="L45" s="321">
        <v>400</v>
      </c>
      <c r="M45" s="321">
        <v>400</v>
      </c>
      <c r="N45" s="321">
        <v>400</v>
      </c>
      <c r="O45" s="322">
        <f aca="true" t="shared" si="9" ref="O45:O56">SUM(C45:N45)</f>
        <v>4800</v>
      </c>
      <c r="P45" s="323">
        <v>4800</v>
      </c>
      <c r="Q45" s="321">
        <f t="shared" si="8"/>
        <v>0</v>
      </c>
      <c r="R45" s="3"/>
      <c r="S45" s="272" t="s">
        <v>430</v>
      </c>
    </row>
    <row r="46" spans="1:19" ht="12.75">
      <c r="A46" s="359" t="s">
        <v>48</v>
      </c>
      <c r="B46" s="2" t="s">
        <v>49</v>
      </c>
      <c r="C46" s="321">
        <v>7500</v>
      </c>
      <c r="D46" s="321">
        <v>7500</v>
      </c>
      <c r="E46" s="321">
        <v>7500</v>
      </c>
      <c r="F46" s="321">
        <v>7500</v>
      </c>
      <c r="G46" s="321">
        <v>7500</v>
      </c>
      <c r="H46" s="321">
        <v>7500</v>
      </c>
      <c r="I46" s="321">
        <v>7500</v>
      </c>
      <c r="J46" s="321">
        <v>7500</v>
      </c>
      <c r="K46" s="321">
        <v>7500</v>
      </c>
      <c r="L46" s="321">
        <v>7500</v>
      </c>
      <c r="M46" s="321">
        <v>7500</v>
      </c>
      <c r="N46" s="321">
        <v>7500</v>
      </c>
      <c r="O46" s="322">
        <f t="shared" si="9"/>
        <v>90000</v>
      </c>
      <c r="P46" s="323">
        <v>90000</v>
      </c>
      <c r="Q46" s="321">
        <f t="shared" si="8"/>
        <v>0</v>
      </c>
      <c r="R46" s="3"/>
      <c r="S46" t="s">
        <v>431</v>
      </c>
    </row>
    <row r="47" spans="1:18" ht="12.75">
      <c r="A47" s="2" t="s">
        <v>50</v>
      </c>
      <c r="B47" s="2" t="s">
        <v>51</v>
      </c>
      <c r="C47" s="321">
        <v>1200</v>
      </c>
      <c r="D47" s="321">
        <v>0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21">
        <v>0</v>
      </c>
      <c r="M47" s="321">
        <v>0</v>
      </c>
      <c r="N47" s="321">
        <v>0</v>
      </c>
      <c r="O47" s="322">
        <f t="shared" si="9"/>
        <v>1200</v>
      </c>
      <c r="P47" s="323">
        <v>1000</v>
      </c>
      <c r="Q47" s="321">
        <f t="shared" si="8"/>
        <v>-200</v>
      </c>
      <c r="R47" s="3"/>
    </row>
    <row r="48" spans="1:18" ht="12.75">
      <c r="A48" s="2" t="s">
        <v>52</v>
      </c>
      <c r="B48" s="2" t="s">
        <v>53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2">
        <f t="shared" si="9"/>
        <v>0</v>
      </c>
      <c r="P48" s="323">
        <v>1200</v>
      </c>
      <c r="Q48" s="321">
        <f t="shared" si="8"/>
        <v>1200</v>
      </c>
      <c r="R48" s="3"/>
    </row>
    <row r="49" spans="1:18" ht="12.75">
      <c r="A49" s="2" t="s">
        <v>54</v>
      </c>
      <c r="B49" s="2" t="s">
        <v>55</v>
      </c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2">
        <f t="shared" si="9"/>
        <v>0</v>
      </c>
      <c r="P49" s="323">
        <v>1200</v>
      </c>
      <c r="Q49" s="321">
        <f t="shared" si="8"/>
        <v>1200</v>
      </c>
      <c r="R49" s="3"/>
    </row>
    <row r="50" spans="1:18" ht="12.75">
      <c r="A50" s="2" t="s">
        <v>56</v>
      </c>
      <c r="B50" s="2" t="s">
        <v>57</v>
      </c>
      <c r="C50" s="321">
        <v>500</v>
      </c>
      <c r="D50" s="321">
        <v>500</v>
      </c>
      <c r="E50" s="321">
        <v>500</v>
      </c>
      <c r="F50" s="321">
        <v>500</v>
      </c>
      <c r="G50" s="321">
        <v>500</v>
      </c>
      <c r="H50" s="321">
        <v>500</v>
      </c>
      <c r="I50" s="321">
        <v>500</v>
      </c>
      <c r="J50" s="321">
        <v>500</v>
      </c>
      <c r="K50" s="321">
        <v>500</v>
      </c>
      <c r="L50" s="321">
        <v>500</v>
      </c>
      <c r="M50" s="321">
        <v>500</v>
      </c>
      <c r="N50" s="321">
        <v>500</v>
      </c>
      <c r="O50" s="322">
        <f t="shared" si="9"/>
        <v>6000</v>
      </c>
      <c r="P50" s="323">
        <v>10200</v>
      </c>
      <c r="Q50" s="321">
        <f t="shared" si="8"/>
        <v>4200</v>
      </c>
      <c r="R50" s="3"/>
    </row>
    <row r="51" spans="1:19" ht="12.75">
      <c r="A51" s="2" t="s">
        <v>58</v>
      </c>
      <c r="B51" s="2" t="s">
        <v>59</v>
      </c>
      <c r="C51" s="321">
        <v>500</v>
      </c>
      <c r="D51" s="321">
        <v>500</v>
      </c>
      <c r="E51" s="321">
        <v>500</v>
      </c>
      <c r="F51" s="321">
        <v>500</v>
      </c>
      <c r="G51" s="321">
        <v>500</v>
      </c>
      <c r="H51" s="321">
        <v>500</v>
      </c>
      <c r="I51" s="321">
        <v>500</v>
      </c>
      <c r="J51" s="321">
        <v>500</v>
      </c>
      <c r="K51" s="321">
        <v>500</v>
      </c>
      <c r="L51" s="321">
        <v>500</v>
      </c>
      <c r="M51" s="321">
        <v>500</v>
      </c>
      <c r="N51" s="321">
        <v>500</v>
      </c>
      <c r="O51" s="322">
        <f t="shared" si="9"/>
        <v>6000</v>
      </c>
      <c r="P51" s="323">
        <v>12000</v>
      </c>
      <c r="Q51" s="321">
        <f t="shared" si="8"/>
        <v>6000</v>
      </c>
      <c r="R51" s="3"/>
      <c r="S51" s="304">
        <f>SUM(Q45:Q46)+Q51</f>
        <v>6000</v>
      </c>
    </row>
    <row r="52" spans="1:18" ht="12.75">
      <c r="A52" s="2" t="s">
        <v>60</v>
      </c>
      <c r="B52" s="2" t="s">
        <v>61</v>
      </c>
      <c r="C52" s="321">
        <v>0</v>
      </c>
      <c r="D52" s="321">
        <v>0</v>
      </c>
      <c r="E52" s="321">
        <v>0</v>
      </c>
      <c r="F52" s="321">
        <v>0</v>
      </c>
      <c r="G52" s="321">
        <v>0</v>
      </c>
      <c r="H52" s="321">
        <v>0</v>
      </c>
      <c r="I52" s="321">
        <v>0</v>
      </c>
      <c r="J52" s="321">
        <v>0</v>
      </c>
      <c r="K52" s="321">
        <v>0</v>
      </c>
      <c r="L52" s="321">
        <v>0</v>
      </c>
      <c r="M52" s="321">
        <v>0</v>
      </c>
      <c r="N52" s="321">
        <v>0</v>
      </c>
      <c r="O52" s="322">
        <f t="shared" si="9"/>
        <v>0</v>
      </c>
      <c r="P52" s="323">
        <v>0</v>
      </c>
      <c r="Q52" s="321">
        <f t="shared" si="8"/>
        <v>0</v>
      </c>
      <c r="R52" s="3"/>
    </row>
    <row r="53" spans="1:18" ht="12.75">
      <c r="A53" s="2" t="s">
        <v>62</v>
      </c>
      <c r="B53" s="2" t="s">
        <v>63</v>
      </c>
      <c r="C53" s="321">
        <v>250</v>
      </c>
      <c r="D53" s="321">
        <v>250</v>
      </c>
      <c r="E53" s="321">
        <v>250</v>
      </c>
      <c r="F53" s="321">
        <v>250</v>
      </c>
      <c r="G53" s="321">
        <v>250</v>
      </c>
      <c r="H53" s="321">
        <v>250</v>
      </c>
      <c r="I53" s="321">
        <v>250</v>
      </c>
      <c r="J53" s="321">
        <v>250</v>
      </c>
      <c r="K53" s="321">
        <v>250</v>
      </c>
      <c r="L53" s="321">
        <v>250</v>
      </c>
      <c r="M53" s="321">
        <v>250</v>
      </c>
      <c r="N53" s="321">
        <v>250</v>
      </c>
      <c r="O53" s="322">
        <f t="shared" si="9"/>
        <v>3000</v>
      </c>
      <c r="P53" s="323">
        <v>3000</v>
      </c>
      <c r="Q53" s="321">
        <f t="shared" si="8"/>
        <v>0</v>
      </c>
      <c r="R53" s="3"/>
    </row>
    <row r="54" spans="1:18" ht="12.75">
      <c r="A54" s="2" t="s">
        <v>64</v>
      </c>
      <c r="B54" s="2" t="s">
        <v>65</v>
      </c>
      <c r="C54" s="321">
        <v>85</v>
      </c>
      <c r="D54" s="321">
        <v>85</v>
      </c>
      <c r="E54" s="321">
        <v>85</v>
      </c>
      <c r="F54" s="321">
        <v>85</v>
      </c>
      <c r="G54" s="321">
        <v>85</v>
      </c>
      <c r="H54" s="321">
        <v>85</v>
      </c>
      <c r="I54" s="321">
        <v>85</v>
      </c>
      <c r="J54" s="321">
        <v>85</v>
      </c>
      <c r="K54" s="321">
        <v>85</v>
      </c>
      <c r="L54" s="321">
        <v>85</v>
      </c>
      <c r="M54" s="321">
        <v>85</v>
      </c>
      <c r="N54" s="321">
        <v>85</v>
      </c>
      <c r="O54" s="322">
        <f t="shared" si="9"/>
        <v>1020</v>
      </c>
      <c r="P54" s="323">
        <v>1020</v>
      </c>
      <c r="Q54" s="321">
        <f t="shared" si="8"/>
        <v>0</v>
      </c>
      <c r="R54" s="3"/>
    </row>
    <row r="55" spans="1:19" ht="12.75">
      <c r="A55" s="2" t="s">
        <v>66</v>
      </c>
      <c r="B55" s="2" t="s">
        <v>67</v>
      </c>
      <c r="C55" s="321">
        <v>29339</v>
      </c>
      <c r="D55" s="321">
        <v>29339</v>
      </c>
      <c r="E55" s="321">
        <f>29339</f>
        <v>29339</v>
      </c>
      <c r="F55" s="321">
        <v>29339</v>
      </c>
      <c r="G55" s="321">
        <v>29339</v>
      </c>
      <c r="H55" s="321">
        <v>29339</v>
      </c>
      <c r="I55" s="321">
        <v>29339</v>
      </c>
      <c r="J55" s="321">
        <v>29339</v>
      </c>
      <c r="K55" s="321">
        <v>29339</v>
      </c>
      <c r="L55" s="321">
        <f>29339+1000</f>
        <v>30339</v>
      </c>
      <c r="M55" s="321">
        <v>29339</v>
      </c>
      <c r="N55" s="321">
        <v>29339</v>
      </c>
      <c r="O55" s="322">
        <f>SUM(C55:N55)</f>
        <v>353068</v>
      </c>
      <c r="P55" s="323">
        <v>336000</v>
      </c>
      <c r="Q55" s="321">
        <f t="shared" si="8"/>
        <v>-17068</v>
      </c>
      <c r="R55" s="3"/>
      <c r="S55" s="153"/>
    </row>
    <row r="56" spans="1:19" ht="12.75">
      <c r="A56" s="2" t="s">
        <v>68</v>
      </c>
      <c r="B56" s="2" t="s">
        <v>69</v>
      </c>
      <c r="C56" s="321">
        <v>100</v>
      </c>
      <c r="D56" s="321">
        <v>100</v>
      </c>
      <c r="E56" s="321">
        <v>100</v>
      </c>
      <c r="F56" s="321">
        <v>100</v>
      </c>
      <c r="G56" s="321">
        <v>100</v>
      </c>
      <c r="H56" s="321">
        <v>100</v>
      </c>
      <c r="I56" s="321">
        <v>100</v>
      </c>
      <c r="J56" s="321">
        <v>100</v>
      </c>
      <c r="K56" s="321">
        <v>100</v>
      </c>
      <c r="L56" s="321">
        <v>100</v>
      </c>
      <c r="M56" s="321">
        <v>100</v>
      </c>
      <c r="N56" s="321">
        <v>100</v>
      </c>
      <c r="O56" s="322">
        <f t="shared" si="9"/>
        <v>1200</v>
      </c>
      <c r="P56" s="323">
        <v>4800</v>
      </c>
      <c r="Q56" s="321">
        <f>P56-O56</f>
        <v>3600</v>
      </c>
      <c r="R56" s="3"/>
      <c r="S56" s="270">
        <f>5000/12</f>
        <v>416.6666666666667</v>
      </c>
    </row>
    <row r="57" spans="2:18" ht="12.75">
      <c r="B57" s="2"/>
      <c r="C57" s="324" t="s">
        <v>17</v>
      </c>
      <c r="D57" s="324" t="s">
        <v>17</v>
      </c>
      <c r="E57" s="324" t="s">
        <v>17</v>
      </c>
      <c r="F57" s="324" t="s">
        <v>17</v>
      </c>
      <c r="G57" s="324" t="s">
        <v>17</v>
      </c>
      <c r="H57" s="324" t="s">
        <v>17</v>
      </c>
      <c r="I57" s="324" t="s">
        <v>17</v>
      </c>
      <c r="J57" s="324" t="s">
        <v>17</v>
      </c>
      <c r="K57" s="324" t="s">
        <v>17</v>
      </c>
      <c r="L57" s="324" t="s">
        <v>17</v>
      </c>
      <c r="M57" s="324" t="s">
        <v>17</v>
      </c>
      <c r="N57" s="324" t="s">
        <v>17</v>
      </c>
      <c r="O57" s="325" t="s">
        <v>17</v>
      </c>
      <c r="P57" s="326" t="s">
        <v>17</v>
      </c>
      <c r="Q57" s="324" t="s">
        <v>17</v>
      </c>
      <c r="R57" s="4"/>
    </row>
    <row r="58" spans="2:17" ht="12.75">
      <c r="B58" s="2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27"/>
      <c r="P58" s="328"/>
      <c r="Q58" s="304"/>
    </row>
    <row r="59" spans="1:18" ht="12.75">
      <c r="A59" s="2" t="s">
        <v>70</v>
      </c>
      <c r="B59" s="2"/>
      <c r="C59" s="321">
        <f aca="true" t="shared" si="10" ref="C59:Q59">SUM(C43:C56)</f>
        <v>41434</v>
      </c>
      <c r="D59" s="321">
        <f t="shared" si="10"/>
        <v>40234</v>
      </c>
      <c r="E59" s="321">
        <f t="shared" si="10"/>
        <v>40234</v>
      </c>
      <c r="F59" s="321">
        <f t="shared" si="10"/>
        <v>40234</v>
      </c>
      <c r="G59" s="321">
        <f t="shared" si="10"/>
        <v>40234</v>
      </c>
      <c r="H59" s="321">
        <f t="shared" si="10"/>
        <v>40234</v>
      </c>
      <c r="I59" s="321">
        <f t="shared" si="10"/>
        <v>40234</v>
      </c>
      <c r="J59" s="321">
        <f t="shared" si="10"/>
        <v>40234</v>
      </c>
      <c r="K59" s="321">
        <f t="shared" si="10"/>
        <v>40234</v>
      </c>
      <c r="L59" s="321">
        <f t="shared" si="10"/>
        <v>41234</v>
      </c>
      <c r="M59" s="321">
        <f t="shared" si="10"/>
        <v>40234</v>
      </c>
      <c r="N59" s="321">
        <f t="shared" si="10"/>
        <v>40234</v>
      </c>
      <c r="O59" s="322">
        <f t="shared" si="10"/>
        <v>485008</v>
      </c>
      <c r="P59" s="323">
        <f t="shared" si="10"/>
        <v>467220</v>
      </c>
      <c r="Q59" s="321">
        <f t="shared" si="10"/>
        <v>-17788</v>
      </c>
      <c r="R59" s="3"/>
    </row>
    <row r="60" spans="2:18" ht="12.75">
      <c r="B60" s="2"/>
      <c r="C60" s="324" t="s">
        <v>17</v>
      </c>
      <c r="D60" s="324" t="s">
        <v>17</v>
      </c>
      <c r="E60" s="324" t="s">
        <v>17</v>
      </c>
      <c r="F60" s="324" t="s">
        <v>17</v>
      </c>
      <c r="G60" s="324" t="s">
        <v>17</v>
      </c>
      <c r="H60" s="324" t="s">
        <v>17</v>
      </c>
      <c r="I60" s="324" t="s">
        <v>17</v>
      </c>
      <c r="J60" s="324" t="s">
        <v>17</v>
      </c>
      <c r="K60" s="324" t="s">
        <v>17</v>
      </c>
      <c r="L60" s="324" t="s">
        <v>17</v>
      </c>
      <c r="M60" s="324" t="s">
        <v>17</v>
      </c>
      <c r="N60" s="324" t="s">
        <v>17</v>
      </c>
      <c r="O60" s="325" t="s">
        <v>17</v>
      </c>
      <c r="P60" s="326" t="s">
        <v>17</v>
      </c>
      <c r="Q60" s="324" t="s">
        <v>17</v>
      </c>
      <c r="R60" s="4"/>
    </row>
    <row r="61" spans="2:17" ht="12.75">
      <c r="B61" s="2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27"/>
      <c r="P61" s="328"/>
      <c r="Q61" s="304"/>
    </row>
    <row r="62" spans="1:17" ht="12.75">
      <c r="A62" s="2" t="s">
        <v>71</v>
      </c>
      <c r="B62" s="2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27"/>
      <c r="P62" s="328"/>
      <c r="Q62" s="304"/>
    </row>
    <row r="63" spans="1:18" ht="12.75">
      <c r="A63" s="2" t="s">
        <v>72</v>
      </c>
      <c r="B63" s="2" t="s">
        <v>73</v>
      </c>
      <c r="C63" s="321">
        <v>6500</v>
      </c>
      <c r="D63" s="321">
        <v>6500</v>
      </c>
      <c r="E63" s="321">
        <v>6500</v>
      </c>
      <c r="F63" s="321">
        <v>6500</v>
      </c>
      <c r="G63" s="321">
        <v>6500</v>
      </c>
      <c r="H63" s="321">
        <v>6500</v>
      </c>
      <c r="I63" s="321">
        <v>6500</v>
      </c>
      <c r="J63" s="321">
        <v>6500</v>
      </c>
      <c r="K63" s="321">
        <v>6500</v>
      </c>
      <c r="L63" s="321">
        <v>6500</v>
      </c>
      <c r="M63" s="321">
        <v>6500</v>
      </c>
      <c r="N63" s="321">
        <v>6500</v>
      </c>
      <c r="O63" s="322">
        <f>SUM(C63:N63)</f>
        <v>78000</v>
      </c>
      <c r="P63" s="329">
        <v>62400</v>
      </c>
      <c r="Q63" s="321">
        <f>P63-O63</f>
        <v>-15600</v>
      </c>
      <c r="R63" s="3"/>
    </row>
    <row r="64" spans="1:18" ht="12.75">
      <c r="A64" s="2" t="s">
        <v>74</v>
      </c>
      <c r="B64" s="2" t="s">
        <v>75</v>
      </c>
      <c r="C64" s="321">
        <v>13279</v>
      </c>
      <c r="D64" s="321">
        <v>11642</v>
      </c>
      <c r="E64" s="321">
        <v>9483</v>
      </c>
      <c r="F64" s="321">
        <v>9287</v>
      </c>
      <c r="G64" s="321">
        <v>11013</v>
      </c>
      <c r="H64" s="321">
        <v>11254</v>
      </c>
      <c r="I64" s="321">
        <v>12014</v>
      </c>
      <c r="J64" s="321">
        <v>10883</v>
      </c>
      <c r="K64" s="321">
        <v>12130</v>
      </c>
      <c r="L64" s="321">
        <v>12019</v>
      </c>
      <c r="M64" s="321">
        <v>12374</v>
      </c>
      <c r="N64" s="321">
        <v>12696</v>
      </c>
      <c r="O64" s="322">
        <f>SUM(C64:N64)</f>
        <v>138074</v>
      </c>
      <c r="P64" s="329">
        <v>127901</v>
      </c>
      <c r="Q64" s="321">
        <f>P64-O64</f>
        <v>-10173</v>
      </c>
      <c r="R64" s="3"/>
    </row>
    <row r="65" spans="1:18" ht="12.75">
      <c r="A65" s="2" t="s">
        <v>76</v>
      </c>
      <c r="B65" s="2" t="s">
        <v>77</v>
      </c>
      <c r="C65" s="321">
        <v>6000</v>
      </c>
      <c r="D65" s="321">
        <v>6000</v>
      </c>
      <c r="E65" s="321">
        <v>6000</v>
      </c>
      <c r="F65" s="321">
        <v>6000</v>
      </c>
      <c r="G65" s="321">
        <v>6000</v>
      </c>
      <c r="H65" s="321">
        <v>6000</v>
      </c>
      <c r="I65" s="321">
        <v>6000</v>
      </c>
      <c r="J65" s="321">
        <v>6000</v>
      </c>
      <c r="K65" s="321">
        <v>6000</v>
      </c>
      <c r="L65" s="321">
        <v>6000</v>
      </c>
      <c r="M65" s="321">
        <v>6000</v>
      </c>
      <c r="N65" s="321">
        <v>6000</v>
      </c>
      <c r="O65" s="322">
        <f>SUM(C65:N65)</f>
        <v>72000</v>
      </c>
      <c r="P65" s="329">
        <v>57600</v>
      </c>
      <c r="Q65" s="321">
        <f>P65-O65</f>
        <v>-14400</v>
      </c>
      <c r="R65" s="3"/>
    </row>
    <row r="66" spans="1:18" ht="12.75">
      <c r="A66" s="2" t="s">
        <v>78</v>
      </c>
      <c r="B66" s="2" t="s">
        <v>79</v>
      </c>
      <c r="C66" s="321">
        <v>46321</v>
      </c>
      <c r="D66" s="321">
        <v>40561</v>
      </c>
      <c r="E66" s="321">
        <v>40512</v>
      </c>
      <c r="F66" s="321">
        <v>16183</v>
      </c>
      <c r="G66" s="321">
        <v>9960</v>
      </c>
      <c r="H66" s="321">
        <v>4630</v>
      </c>
      <c r="I66" s="321">
        <v>2196</v>
      </c>
      <c r="J66" s="321">
        <v>1097</v>
      </c>
      <c r="K66" s="321">
        <v>1326</v>
      </c>
      <c r="L66" s="321">
        <v>3082</v>
      </c>
      <c r="M66" s="321">
        <v>9810</v>
      </c>
      <c r="N66" s="321">
        <v>16149</v>
      </c>
      <c r="O66" s="322">
        <f>SUM(C66:N66)</f>
        <v>191827</v>
      </c>
      <c r="P66" s="329">
        <v>137836</v>
      </c>
      <c r="Q66" s="321">
        <f>P66-O66</f>
        <v>-53991</v>
      </c>
      <c r="R66" s="3"/>
    </row>
    <row r="67" spans="1:18" ht="12.75">
      <c r="A67" s="2" t="s">
        <v>80</v>
      </c>
      <c r="B67" s="2" t="s">
        <v>81</v>
      </c>
      <c r="C67" s="321">
        <v>7782</v>
      </c>
      <c r="D67" s="321">
        <v>8081</v>
      </c>
      <c r="E67" s="321">
        <v>10069</v>
      </c>
      <c r="F67" s="321">
        <v>10344</v>
      </c>
      <c r="G67" s="321">
        <v>11583</v>
      </c>
      <c r="H67" s="321">
        <v>13499</v>
      </c>
      <c r="I67" s="321">
        <v>15044</v>
      </c>
      <c r="J67" s="321">
        <v>16487</v>
      </c>
      <c r="K67" s="321">
        <v>15042</v>
      </c>
      <c r="L67" s="321">
        <v>8207</v>
      </c>
      <c r="M67" s="321">
        <v>9677</v>
      </c>
      <c r="N67" s="321">
        <v>8387</v>
      </c>
      <c r="O67" s="322">
        <f>SUM(C67:N67)</f>
        <v>134202</v>
      </c>
      <c r="P67" s="329">
        <v>131645.49999999997</v>
      </c>
      <c r="Q67" s="321">
        <f>P67-O67</f>
        <v>-2556.500000000029</v>
      </c>
      <c r="R67" s="3"/>
    </row>
    <row r="68" spans="2:18" ht="12.75">
      <c r="B68" s="2"/>
      <c r="C68" s="324" t="s">
        <v>17</v>
      </c>
      <c r="D68" s="324" t="s">
        <v>17</v>
      </c>
      <c r="E68" s="324" t="s">
        <v>17</v>
      </c>
      <c r="F68" s="324" t="s">
        <v>17</v>
      </c>
      <c r="G68" s="324" t="s">
        <v>17</v>
      </c>
      <c r="H68" s="324" t="s">
        <v>17</v>
      </c>
      <c r="I68" s="324" t="s">
        <v>17</v>
      </c>
      <c r="J68" s="324" t="s">
        <v>17</v>
      </c>
      <c r="K68" s="324" t="s">
        <v>17</v>
      </c>
      <c r="L68" s="324" t="s">
        <v>17</v>
      </c>
      <c r="M68" s="324" t="s">
        <v>17</v>
      </c>
      <c r="N68" s="324" t="s">
        <v>17</v>
      </c>
      <c r="O68" s="325" t="s">
        <v>17</v>
      </c>
      <c r="P68" s="326" t="s">
        <v>17</v>
      </c>
      <c r="Q68" s="324" t="s">
        <v>17</v>
      </c>
      <c r="R68" s="4"/>
    </row>
    <row r="69" spans="2:17" ht="12.75">
      <c r="B69" s="2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27"/>
      <c r="P69" s="328"/>
      <c r="Q69" s="304"/>
    </row>
    <row r="70" spans="1:18" ht="12.75">
      <c r="A70" s="2" t="s">
        <v>82</v>
      </c>
      <c r="B70" s="2"/>
      <c r="C70" s="321">
        <f aca="true" t="shared" si="11" ref="C70:Q70">SUM(C63:C69)</f>
        <v>79882</v>
      </c>
      <c r="D70" s="321">
        <f t="shared" si="11"/>
        <v>72784</v>
      </c>
      <c r="E70" s="321">
        <f t="shared" si="11"/>
        <v>72564</v>
      </c>
      <c r="F70" s="321">
        <f t="shared" si="11"/>
        <v>48314</v>
      </c>
      <c r="G70" s="321">
        <f t="shared" si="11"/>
        <v>45056</v>
      </c>
      <c r="H70" s="321">
        <f t="shared" si="11"/>
        <v>41883</v>
      </c>
      <c r="I70" s="321">
        <f t="shared" si="11"/>
        <v>41754</v>
      </c>
      <c r="J70" s="321">
        <f t="shared" si="11"/>
        <v>40967</v>
      </c>
      <c r="K70" s="321">
        <f t="shared" si="11"/>
        <v>40998</v>
      </c>
      <c r="L70" s="321">
        <f t="shared" si="11"/>
        <v>35808</v>
      </c>
      <c r="M70" s="321">
        <f t="shared" si="11"/>
        <v>44361</v>
      </c>
      <c r="N70" s="321">
        <f t="shared" si="11"/>
        <v>49732</v>
      </c>
      <c r="O70" s="322">
        <f t="shared" si="11"/>
        <v>614103</v>
      </c>
      <c r="P70" s="323">
        <f t="shared" si="11"/>
        <v>517382.5</v>
      </c>
      <c r="Q70" s="321">
        <f t="shared" si="11"/>
        <v>-96720.50000000003</v>
      </c>
      <c r="R70" s="3"/>
    </row>
    <row r="71" spans="2:18" ht="12.75">
      <c r="B71" s="2"/>
      <c r="C71" s="324" t="s">
        <v>17</v>
      </c>
      <c r="D71" s="324" t="s">
        <v>17</v>
      </c>
      <c r="E71" s="324" t="s">
        <v>17</v>
      </c>
      <c r="F71" s="324" t="s">
        <v>17</v>
      </c>
      <c r="G71" s="324" t="s">
        <v>17</v>
      </c>
      <c r="H71" s="324" t="s">
        <v>17</v>
      </c>
      <c r="I71" s="324" t="s">
        <v>17</v>
      </c>
      <c r="J71" s="324" t="s">
        <v>17</v>
      </c>
      <c r="K71" s="324" t="s">
        <v>17</v>
      </c>
      <c r="L71" s="324" t="s">
        <v>17</v>
      </c>
      <c r="M71" s="324" t="s">
        <v>17</v>
      </c>
      <c r="N71" s="324" t="s">
        <v>17</v>
      </c>
      <c r="O71" s="325" t="s">
        <v>17</v>
      </c>
      <c r="P71" s="326" t="s">
        <v>17</v>
      </c>
      <c r="Q71" s="324" t="s">
        <v>17</v>
      </c>
      <c r="R71" s="4"/>
    </row>
    <row r="72" spans="2:17" ht="12.75">
      <c r="B72" s="2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27"/>
      <c r="P72" s="328"/>
      <c r="Q72" s="304"/>
    </row>
    <row r="73" spans="1:18" ht="12.75">
      <c r="A73" s="2" t="s">
        <v>83</v>
      </c>
      <c r="B73" s="2"/>
      <c r="C73" s="321">
        <f>C70+C59+C40</f>
        <v>142110</v>
      </c>
      <c r="D73" s="321">
        <f aca="true" t="shared" si="12" ref="D73:N73">D70+D59+D40</f>
        <v>133812</v>
      </c>
      <c r="E73" s="321">
        <f t="shared" si="12"/>
        <v>137192</v>
      </c>
      <c r="F73" s="321">
        <f t="shared" si="12"/>
        <v>111460.5</v>
      </c>
      <c r="G73" s="321">
        <f t="shared" si="12"/>
        <v>108295.6</v>
      </c>
      <c r="H73" s="321">
        <f t="shared" si="12"/>
        <v>112322.6</v>
      </c>
      <c r="I73" s="321">
        <f t="shared" si="12"/>
        <v>104993.6</v>
      </c>
      <c r="J73" s="321">
        <f t="shared" si="12"/>
        <v>104206.6</v>
      </c>
      <c r="K73" s="321">
        <f t="shared" si="12"/>
        <v>111437.6</v>
      </c>
      <c r="L73" s="321">
        <f t="shared" si="12"/>
        <v>100047.6</v>
      </c>
      <c r="M73" s="321">
        <f t="shared" si="12"/>
        <v>107600.6</v>
      </c>
      <c r="N73" s="321">
        <f t="shared" si="12"/>
        <v>112971.6</v>
      </c>
      <c r="O73" s="322">
        <f>O70+O59+O40</f>
        <v>1386450.3</v>
      </c>
      <c r="P73" s="323">
        <f>P70+P59+P40</f>
        <v>1288786.5</v>
      </c>
      <c r="Q73" s="321">
        <f>Q70+Q59+Q40</f>
        <v>-97663.80000000005</v>
      </c>
      <c r="R73" s="3"/>
    </row>
    <row r="74" spans="2:18" ht="12.75">
      <c r="B74" s="2"/>
      <c r="C74" s="324" t="s">
        <v>17</v>
      </c>
      <c r="D74" s="324" t="s">
        <v>17</v>
      </c>
      <c r="E74" s="324" t="s">
        <v>17</v>
      </c>
      <c r="F74" s="324" t="s">
        <v>17</v>
      </c>
      <c r="G74" s="324" t="s">
        <v>17</v>
      </c>
      <c r="H74" s="324" t="s">
        <v>17</v>
      </c>
      <c r="I74" s="324" t="s">
        <v>17</v>
      </c>
      <c r="J74" s="324" t="s">
        <v>17</v>
      </c>
      <c r="K74" s="324" t="s">
        <v>17</v>
      </c>
      <c r="L74" s="324" t="s">
        <v>17</v>
      </c>
      <c r="M74" s="324" t="s">
        <v>17</v>
      </c>
      <c r="N74" s="324" t="s">
        <v>17</v>
      </c>
      <c r="O74" s="325" t="s">
        <v>17</v>
      </c>
      <c r="P74" s="326" t="s">
        <v>17</v>
      </c>
      <c r="Q74" s="324" t="s">
        <v>17</v>
      </c>
      <c r="R74" s="4"/>
    </row>
    <row r="75" spans="2:17" ht="12.75">
      <c r="B75" s="2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27"/>
      <c r="P75" s="328"/>
      <c r="Q75" s="304"/>
    </row>
    <row r="76" spans="1:18" ht="12.75">
      <c r="A76" s="2" t="s">
        <v>84</v>
      </c>
      <c r="B76" s="2"/>
      <c r="C76" s="321">
        <f aca="true" t="shared" si="13" ref="C76:P76">C17-C73</f>
        <v>-25864</v>
      </c>
      <c r="D76" s="321">
        <f t="shared" si="13"/>
        <v>-17566</v>
      </c>
      <c r="E76" s="321">
        <f t="shared" si="13"/>
        <v>-20946</v>
      </c>
      <c r="F76" s="321">
        <f t="shared" si="13"/>
        <v>4785.5</v>
      </c>
      <c r="G76" s="321">
        <f t="shared" si="13"/>
        <v>7950.399999999994</v>
      </c>
      <c r="H76" s="321">
        <f t="shared" si="13"/>
        <v>3923.399999999994</v>
      </c>
      <c r="I76" s="321">
        <f t="shared" si="13"/>
        <v>11252.399999999994</v>
      </c>
      <c r="J76" s="321">
        <f t="shared" si="13"/>
        <v>12039.399999999994</v>
      </c>
      <c r="K76" s="321">
        <f t="shared" si="13"/>
        <v>4808.399999999994</v>
      </c>
      <c r="L76" s="321">
        <f t="shared" si="13"/>
        <v>16198.399999999994</v>
      </c>
      <c r="M76" s="321">
        <f t="shared" si="13"/>
        <v>8645.399999999994</v>
      </c>
      <c r="N76" s="321">
        <f t="shared" si="13"/>
        <v>3272.7000000000407</v>
      </c>
      <c r="O76" s="322">
        <f t="shared" si="13"/>
        <v>8500</v>
      </c>
      <c r="P76" s="323">
        <f t="shared" si="13"/>
        <v>20000</v>
      </c>
      <c r="Q76" s="321">
        <f>Q17+Q73</f>
        <v>-11500</v>
      </c>
      <c r="R76" s="3"/>
    </row>
    <row r="77" spans="2:18" ht="12.75">
      <c r="B77" s="2"/>
      <c r="C77" s="324" t="s">
        <v>17</v>
      </c>
      <c r="D77" s="324" t="s">
        <v>17</v>
      </c>
      <c r="E77" s="324" t="s">
        <v>17</v>
      </c>
      <c r="F77" s="324" t="s">
        <v>17</v>
      </c>
      <c r="G77" s="324" t="s">
        <v>17</v>
      </c>
      <c r="H77" s="324" t="s">
        <v>17</v>
      </c>
      <c r="I77" s="324" t="s">
        <v>17</v>
      </c>
      <c r="J77" s="324" t="s">
        <v>17</v>
      </c>
      <c r="K77" s="324" t="s">
        <v>17</v>
      </c>
      <c r="L77" s="324" t="s">
        <v>17</v>
      </c>
      <c r="M77" s="324" t="s">
        <v>17</v>
      </c>
      <c r="N77" s="324" t="s">
        <v>17</v>
      </c>
      <c r="O77" s="325" t="s">
        <v>17</v>
      </c>
      <c r="P77" s="326" t="s">
        <v>17</v>
      </c>
      <c r="Q77" s="324" t="s">
        <v>17</v>
      </c>
      <c r="R77" s="4"/>
    </row>
    <row r="78" spans="2:18" ht="12.75">
      <c r="B78" s="2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5"/>
      <c r="P78" s="326"/>
      <c r="Q78" s="324"/>
      <c r="R78" s="4"/>
    </row>
    <row r="79" spans="1:17" ht="12.75">
      <c r="A79" s="2" t="s">
        <v>85</v>
      </c>
      <c r="B79" s="2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27"/>
      <c r="P79" s="328"/>
      <c r="Q79" s="304"/>
    </row>
    <row r="80" spans="1:20" ht="12.75">
      <c r="A80" s="2" t="s">
        <v>86</v>
      </c>
      <c r="B80" s="2" t="s">
        <v>87</v>
      </c>
      <c r="C80" s="321">
        <f aca="true" t="shared" si="14" ref="C80:M80">ROUND($O80/12,0)</f>
        <v>24000</v>
      </c>
      <c r="D80" s="321">
        <f t="shared" si="14"/>
        <v>24000</v>
      </c>
      <c r="E80" s="321">
        <f t="shared" si="14"/>
        <v>24000</v>
      </c>
      <c r="F80" s="321">
        <f t="shared" si="14"/>
        <v>24000</v>
      </c>
      <c r="G80" s="321">
        <f t="shared" si="14"/>
        <v>24000</v>
      </c>
      <c r="H80" s="321">
        <f t="shared" si="14"/>
        <v>24000</v>
      </c>
      <c r="I80" s="321">
        <f t="shared" si="14"/>
        <v>24000</v>
      </c>
      <c r="J80" s="321">
        <f t="shared" si="14"/>
        <v>24000</v>
      </c>
      <c r="K80" s="321">
        <f t="shared" si="14"/>
        <v>24000</v>
      </c>
      <c r="L80" s="321">
        <f t="shared" si="14"/>
        <v>24000</v>
      </c>
      <c r="M80" s="321">
        <f t="shared" si="14"/>
        <v>24000</v>
      </c>
      <c r="N80" s="321">
        <f>O80-SUM(C80:M80)</f>
        <v>24000</v>
      </c>
      <c r="O80" s="322">
        <v>288000</v>
      </c>
      <c r="P80" s="323">
        <v>264000</v>
      </c>
      <c r="Q80" s="321">
        <f>O80-P80</f>
        <v>24000</v>
      </c>
      <c r="R80" s="3"/>
      <c r="T80">
        <f>(100*183.6)*12</f>
        <v>220320</v>
      </c>
    </row>
    <row r="81" spans="1:18" ht="12.75">
      <c r="A81" s="2" t="s">
        <v>88</v>
      </c>
      <c r="B81" s="2" t="s">
        <v>89</v>
      </c>
      <c r="C81" s="321">
        <f>SUM(C89:C102)</f>
        <v>695400</v>
      </c>
      <c r="D81" s="321">
        <f aca="true" t="shared" si="15" ref="D81:L81">SUM(D90:D101)</f>
        <v>0</v>
      </c>
      <c r="E81" s="321">
        <f t="shared" si="15"/>
        <v>0</v>
      </c>
      <c r="F81" s="321">
        <f t="shared" si="15"/>
        <v>0</v>
      </c>
      <c r="G81" s="321">
        <f t="shared" si="15"/>
        <v>0</v>
      </c>
      <c r="H81" s="321">
        <f t="shared" si="15"/>
        <v>0</v>
      </c>
      <c r="I81" s="321">
        <f t="shared" si="15"/>
        <v>0</v>
      </c>
      <c r="J81" s="321">
        <v>2260</v>
      </c>
      <c r="K81" s="321">
        <f t="shared" si="15"/>
        <v>0</v>
      </c>
      <c r="L81" s="321">
        <f t="shared" si="15"/>
        <v>0</v>
      </c>
      <c r="M81" s="321">
        <v>0</v>
      </c>
      <c r="N81" s="321">
        <f>SUM(N90:N101)</f>
        <v>0</v>
      </c>
      <c r="O81" s="322">
        <f>SUM(C81:N81)</f>
        <v>697660</v>
      </c>
      <c r="P81" s="323">
        <v>302100</v>
      </c>
      <c r="Q81" s="321">
        <f>O81-P81</f>
        <v>395560</v>
      </c>
      <c r="R81" s="3"/>
    </row>
    <row r="82" spans="2:18" ht="12.75">
      <c r="B82" s="2"/>
      <c r="C82" s="324" t="s">
        <v>17</v>
      </c>
      <c r="D82" s="324" t="s">
        <v>17</v>
      </c>
      <c r="E82" s="324" t="s">
        <v>17</v>
      </c>
      <c r="F82" s="324" t="s">
        <v>17</v>
      </c>
      <c r="G82" s="324" t="s">
        <v>17</v>
      </c>
      <c r="H82" s="324" t="s">
        <v>17</v>
      </c>
      <c r="I82" s="324" t="s">
        <v>17</v>
      </c>
      <c r="J82" s="324" t="s">
        <v>17</v>
      </c>
      <c r="K82" s="324" t="s">
        <v>17</v>
      </c>
      <c r="L82" s="324" t="s">
        <v>17</v>
      </c>
      <c r="M82" s="324" t="s">
        <v>17</v>
      </c>
      <c r="N82" s="324" t="s">
        <v>17</v>
      </c>
      <c r="O82" s="325" t="s">
        <v>17</v>
      </c>
      <c r="P82" s="326" t="s">
        <v>17</v>
      </c>
      <c r="Q82" s="324" t="s">
        <v>17</v>
      </c>
      <c r="R82" s="4"/>
    </row>
    <row r="83" spans="2:20" ht="12.75">
      <c r="B83" s="2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27"/>
      <c r="P83" s="328"/>
      <c r="Q83" s="304"/>
      <c r="T83">
        <f>2700/12</f>
        <v>225</v>
      </c>
    </row>
    <row r="84" spans="1:18" ht="12.75">
      <c r="A84" s="2" t="s">
        <v>90</v>
      </c>
      <c r="B84" s="2"/>
      <c r="C84" s="321">
        <f>SUM(C80:C83)</f>
        <v>719400</v>
      </c>
      <c r="D84" s="321">
        <f aca="true" t="shared" si="16" ref="D84:N84">SUM(D80:D83)</f>
        <v>24000</v>
      </c>
      <c r="E84" s="321">
        <f t="shared" si="16"/>
        <v>24000</v>
      </c>
      <c r="F84" s="321">
        <f t="shared" si="16"/>
        <v>24000</v>
      </c>
      <c r="G84" s="321">
        <f t="shared" si="16"/>
        <v>24000</v>
      </c>
      <c r="H84" s="321">
        <f t="shared" si="16"/>
        <v>24000</v>
      </c>
      <c r="I84" s="321">
        <f t="shared" si="16"/>
        <v>24000</v>
      </c>
      <c r="J84" s="321">
        <f t="shared" si="16"/>
        <v>26260</v>
      </c>
      <c r="K84" s="321">
        <f t="shared" si="16"/>
        <v>24000</v>
      </c>
      <c r="L84" s="321">
        <f t="shared" si="16"/>
        <v>24000</v>
      </c>
      <c r="M84" s="321">
        <f t="shared" si="16"/>
        <v>24000</v>
      </c>
      <c r="N84" s="321">
        <f t="shared" si="16"/>
        <v>24000</v>
      </c>
      <c r="O84" s="322">
        <f>SUM(O80:O83)</f>
        <v>985660</v>
      </c>
      <c r="P84" s="323">
        <f>SUM(P80:P83)</f>
        <v>566100</v>
      </c>
      <c r="Q84" s="321">
        <f>SUM(Q80:Q83)</f>
        <v>419560</v>
      </c>
      <c r="R84" s="3"/>
    </row>
    <row r="85" spans="2:18" ht="12.75">
      <c r="B85" s="2"/>
      <c r="C85" s="324" t="s">
        <v>17</v>
      </c>
      <c r="D85" s="324" t="s">
        <v>17</v>
      </c>
      <c r="E85" s="324" t="s">
        <v>17</v>
      </c>
      <c r="F85" s="324" t="s">
        <v>17</v>
      </c>
      <c r="G85" s="324" t="s">
        <v>17</v>
      </c>
      <c r="H85" s="324" t="s">
        <v>17</v>
      </c>
      <c r="I85" s="324" t="s">
        <v>17</v>
      </c>
      <c r="J85" s="324" t="s">
        <v>17</v>
      </c>
      <c r="K85" s="324" t="s">
        <v>17</v>
      </c>
      <c r="L85" s="324" t="s">
        <v>17</v>
      </c>
      <c r="M85" s="324" t="s">
        <v>17</v>
      </c>
      <c r="N85" s="324" t="s">
        <v>17</v>
      </c>
      <c r="O85" s="325" t="s">
        <v>17</v>
      </c>
      <c r="P85" s="326" t="s">
        <v>17</v>
      </c>
      <c r="Q85" s="324" t="s">
        <v>17</v>
      </c>
      <c r="R85" s="4"/>
    </row>
    <row r="86" spans="2:17" ht="12.75">
      <c r="B86" s="2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27"/>
      <c r="P86" s="328"/>
      <c r="Q86" s="304"/>
    </row>
    <row r="87" spans="1:17" ht="12.75">
      <c r="A87" s="2" t="s">
        <v>91</v>
      </c>
      <c r="B87" s="2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27"/>
      <c r="P87" s="328"/>
      <c r="Q87" s="304"/>
    </row>
    <row r="88" spans="1:19" ht="12.75">
      <c r="A88" s="2" t="s">
        <v>92</v>
      </c>
      <c r="B88" s="2" t="s">
        <v>93</v>
      </c>
      <c r="C88" s="321">
        <v>24000</v>
      </c>
      <c r="D88" s="321">
        <v>24000</v>
      </c>
      <c r="E88" s="321">
        <v>24000</v>
      </c>
      <c r="F88" s="321">
        <v>24000</v>
      </c>
      <c r="G88" s="321">
        <v>24000</v>
      </c>
      <c r="H88" s="321">
        <v>24000</v>
      </c>
      <c r="I88" s="321">
        <v>24000</v>
      </c>
      <c r="J88" s="321">
        <v>24000</v>
      </c>
      <c r="K88" s="321">
        <v>24000</v>
      </c>
      <c r="L88" s="321">
        <v>24000</v>
      </c>
      <c r="M88" s="321">
        <v>24000</v>
      </c>
      <c r="N88" s="321">
        <v>24000</v>
      </c>
      <c r="O88" s="322">
        <f aca="true" t="shared" si="17" ref="O88:O101">SUM(C88:N88)</f>
        <v>288000</v>
      </c>
      <c r="P88" s="329">
        <v>264000</v>
      </c>
      <c r="Q88" s="321">
        <f>P88-O88</f>
        <v>-24000</v>
      </c>
      <c r="R88" s="3"/>
      <c r="S88" s="152"/>
    </row>
    <row r="89" spans="1:19" ht="12.75">
      <c r="A89" s="151" t="s">
        <v>151</v>
      </c>
      <c r="B89" s="2"/>
      <c r="C89" s="321"/>
      <c r="D89" s="321"/>
      <c r="E89" s="321"/>
      <c r="F89" s="321"/>
      <c r="G89" s="321"/>
      <c r="H89" s="321"/>
      <c r="I89" s="321"/>
      <c r="J89" s="321">
        <v>2260</v>
      </c>
      <c r="K89" s="321"/>
      <c r="L89" s="321"/>
      <c r="M89" s="321"/>
      <c r="N89" s="321"/>
      <c r="O89" s="322">
        <f t="shared" si="17"/>
        <v>2260</v>
      </c>
      <c r="P89" s="329">
        <v>1800</v>
      </c>
      <c r="Q89" s="321"/>
      <c r="R89" s="3"/>
      <c r="S89" s="152"/>
    </row>
    <row r="90" spans="1:18" ht="12.75">
      <c r="A90" s="2" t="s">
        <v>465</v>
      </c>
      <c r="B90" s="2"/>
      <c r="C90" s="330">
        <v>0</v>
      </c>
      <c r="D90" s="321">
        <v>0</v>
      </c>
      <c r="E90" s="321">
        <v>0</v>
      </c>
      <c r="F90" s="321">
        <v>0</v>
      </c>
      <c r="G90" s="321">
        <v>0</v>
      </c>
      <c r="H90" s="321">
        <v>0</v>
      </c>
      <c r="I90" s="321">
        <v>0</v>
      </c>
      <c r="J90" s="321">
        <v>0</v>
      </c>
      <c r="K90" s="321">
        <v>0</v>
      </c>
      <c r="L90" s="321">
        <v>0</v>
      </c>
      <c r="M90" s="321">
        <v>0</v>
      </c>
      <c r="N90" s="321">
        <v>0</v>
      </c>
      <c r="O90" s="322">
        <f t="shared" si="17"/>
        <v>0</v>
      </c>
      <c r="P90" s="329">
        <v>0</v>
      </c>
      <c r="Q90" s="321">
        <f aca="true" t="shared" si="18" ref="Q90:Q101">P90-O90</f>
        <v>0</v>
      </c>
      <c r="R90" s="3"/>
    </row>
    <row r="91" spans="1:19" ht="12.75">
      <c r="A91" s="2" t="s">
        <v>451</v>
      </c>
      <c r="B91" s="2" t="s">
        <v>474</v>
      </c>
      <c r="C91" s="330">
        <v>20500</v>
      </c>
      <c r="D91" s="321">
        <v>0</v>
      </c>
      <c r="E91" s="321">
        <v>0</v>
      </c>
      <c r="F91" s="321">
        <v>0</v>
      </c>
      <c r="G91" s="321">
        <v>0</v>
      </c>
      <c r="H91" s="321">
        <v>0</v>
      </c>
      <c r="I91" s="321">
        <v>0</v>
      </c>
      <c r="J91" s="321">
        <v>0</v>
      </c>
      <c r="K91" s="321">
        <v>0</v>
      </c>
      <c r="L91" s="321">
        <v>0</v>
      </c>
      <c r="M91" s="321">
        <v>0</v>
      </c>
      <c r="N91" s="321">
        <v>0</v>
      </c>
      <c r="O91" s="322">
        <f t="shared" si="17"/>
        <v>20500</v>
      </c>
      <c r="P91" s="329">
        <v>49000</v>
      </c>
      <c r="Q91" s="321">
        <f t="shared" si="18"/>
        <v>28500</v>
      </c>
      <c r="R91" s="3"/>
      <c r="S91" s="153"/>
    </row>
    <row r="92" spans="1:22" ht="12.75">
      <c r="A92" s="2" t="s">
        <v>452</v>
      </c>
      <c r="B92" s="2" t="s">
        <v>476</v>
      </c>
      <c r="C92" s="330">
        <v>26500</v>
      </c>
      <c r="D92" s="321">
        <v>0</v>
      </c>
      <c r="E92" s="321">
        <v>0</v>
      </c>
      <c r="F92" s="321">
        <v>0</v>
      </c>
      <c r="G92" s="321">
        <v>0</v>
      </c>
      <c r="H92" s="321">
        <v>0</v>
      </c>
      <c r="I92" s="321">
        <v>0</v>
      </c>
      <c r="J92" s="321">
        <v>0</v>
      </c>
      <c r="K92" s="321">
        <v>0</v>
      </c>
      <c r="L92" s="321">
        <v>0</v>
      </c>
      <c r="M92" s="321">
        <v>0</v>
      </c>
      <c r="N92" s="321">
        <v>0</v>
      </c>
      <c r="O92" s="322">
        <f t="shared" si="17"/>
        <v>26500</v>
      </c>
      <c r="P92" s="329">
        <v>35000</v>
      </c>
      <c r="Q92" s="321">
        <f t="shared" si="18"/>
        <v>8500</v>
      </c>
      <c r="R92" s="3"/>
      <c r="S92" s="153"/>
      <c r="T92" s="219"/>
      <c r="U92" s="219"/>
      <c r="V92" s="219"/>
    </row>
    <row r="93" spans="1:22" ht="12.75">
      <c r="A93" s="151" t="s">
        <v>453</v>
      </c>
      <c r="B93" s="2"/>
      <c r="C93" s="330">
        <v>75000</v>
      </c>
      <c r="D93" s="321">
        <v>0</v>
      </c>
      <c r="E93" s="321">
        <v>0</v>
      </c>
      <c r="F93" s="321">
        <v>0</v>
      </c>
      <c r="G93" s="321">
        <v>0</v>
      </c>
      <c r="H93" s="321">
        <v>0</v>
      </c>
      <c r="I93" s="321">
        <v>0</v>
      </c>
      <c r="J93" s="321">
        <v>0</v>
      </c>
      <c r="K93" s="321">
        <v>0</v>
      </c>
      <c r="L93" s="321">
        <v>0</v>
      </c>
      <c r="M93" s="321">
        <v>0</v>
      </c>
      <c r="N93" s="321">
        <v>0</v>
      </c>
      <c r="O93" s="322">
        <f t="shared" si="17"/>
        <v>75000</v>
      </c>
      <c r="P93" s="329">
        <v>0</v>
      </c>
      <c r="Q93" s="321">
        <f t="shared" si="18"/>
        <v>-75000</v>
      </c>
      <c r="R93" s="3"/>
      <c r="S93" s="153"/>
      <c r="T93" s="219"/>
      <c r="U93" s="219"/>
      <c r="V93" s="219"/>
    </row>
    <row r="94" spans="1:19" ht="14.25" customHeight="1">
      <c r="A94" s="151" t="s">
        <v>466</v>
      </c>
      <c r="B94" s="2" t="s">
        <v>475</v>
      </c>
      <c r="C94" s="330">
        <v>175500</v>
      </c>
      <c r="D94" s="321">
        <v>0</v>
      </c>
      <c r="E94" s="321">
        <v>0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2">
        <f t="shared" si="17"/>
        <v>175500</v>
      </c>
      <c r="P94" s="329">
        <v>70000</v>
      </c>
      <c r="Q94" s="321">
        <f t="shared" si="18"/>
        <v>-105500</v>
      </c>
      <c r="R94" s="3"/>
      <c r="S94" s="153"/>
    </row>
    <row r="95" spans="1:18" ht="12.75">
      <c r="A95" s="151" t="s">
        <v>458</v>
      </c>
      <c r="B95" s="2" t="s">
        <v>515</v>
      </c>
      <c r="C95" s="330">
        <v>29100</v>
      </c>
      <c r="D95" s="321">
        <v>0</v>
      </c>
      <c r="E95" s="321">
        <v>0</v>
      </c>
      <c r="F95" s="321">
        <v>0</v>
      </c>
      <c r="G95" s="321">
        <v>0</v>
      </c>
      <c r="H95" s="321">
        <v>0</v>
      </c>
      <c r="I95" s="321">
        <v>0</v>
      </c>
      <c r="J95" s="321">
        <v>0</v>
      </c>
      <c r="K95" s="321">
        <v>0</v>
      </c>
      <c r="L95" s="321">
        <v>0</v>
      </c>
      <c r="M95" s="321">
        <v>0</v>
      </c>
      <c r="N95" s="321">
        <v>0</v>
      </c>
      <c r="O95" s="322">
        <f t="shared" si="17"/>
        <v>29100</v>
      </c>
      <c r="P95" s="329">
        <v>39500</v>
      </c>
      <c r="Q95" s="321">
        <f t="shared" si="18"/>
        <v>10400</v>
      </c>
      <c r="R95" s="3"/>
    </row>
    <row r="96" spans="1:18" ht="12.75">
      <c r="A96" s="151" t="s">
        <v>348</v>
      </c>
      <c r="B96" s="2"/>
      <c r="C96" s="330">
        <v>13000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1">
        <v>0</v>
      </c>
      <c r="L96" s="321">
        <v>0</v>
      </c>
      <c r="M96" s="321">
        <v>0</v>
      </c>
      <c r="N96" s="321">
        <v>0</v>
      </c>
      <c r="O96" s="322">
        <f t="shared" si="17"/>
        <v>13000</v>
      </c>
      <c r="P96" s="329">
        <v>0</v>
      </c>
      <c r="Q96" s="321">
        <f t="shared" si="18"/>
        <v>-13000</v>
      </c>
      <c r="R96" s="3"/>
    </row>
    <row r="97" spans="1:18" ht="12.75">
      <c r="A97" s="2" t="s">
        <v>462</v>
      </c>
      <c r="B97" s="2" t="s">
        <v>96</v>
      </c>
      <c r="C97" s="330">
        <v>275650</v>
      </c>
      <c r="D97" s="321">
        <v>0</v>
      </c>
      <c r="E97" s="321">
        <v>0</v>
      </c>
      <c r="F97" s="321">
        <v>0</v>
      </c>
      <c r="G97" s="321">
        <v>0</v>
      </c>
      <c r="H97" s="321">
        <v>0</v>
      </c>
      <c r="I97" s="321">
        <v>0</v>
      </c>
      <c r="J97" s="321">
        <v>0</v>
      </c>
      <c r="K97" s="321">
        <v>0</v>
      </c>
      <c r="L97" s="321">
        <v>0</v>
      </c>
      <c r="M97" s="321">
        <v>0</v>
      </c>
      <c r="N97" s="321">
        <v>0</v>
      </c>
      <c r="O97" s="322">
        <f t="shared" si="17"/>
        <v>275650</v>
      </c>
      <c r="P97" s="329">
        <v>90600</v>
      </c>
      <c r="Q97" s="321">
        <f t="shared" si="18"/>
        <v>-185050</v>
      </c>
      <c r="R97" s="3"/>
    </row>
    <row r="98" spans="1:22" ht="12.75">
      <c r="A98" s="2" t="s">
        <v>152</v>
      </c>
      <c r="B98" s="2" t="s">
        <v>477</v>
      </c>
      <c r="C98" s="330">
        <v>40150</v>
      </c>
      <c r="D98" s="321">
        <v>0</v>
      </c>
      <c r="E98" s="321">
        <v>0</v>
      </c>
      <c r="F98" s="321">
        <v>0</v>
      </c>
      <c r="G98" s="321">
        <v>0</v>
      </c>
      <c r="H98" s="321">
        <v>0</v>
      </c>
      <c r="I98" s="321">
        <v>0</v>
      </c>
      <c r="J98" s="321">
        <v>0</v>
      </c>
      <c r="K98" s="321">
        <v>0</v>
      </c>
      <c r="L98" s="321">
        <v>0</v>
      </c>
      <c r="M98" s="321">
        <v>0</v>
      </c>
      <c r="N98" s="321">
        <v>0</v>
      </c>
      <c r="O98" s="322">
        <f t="shared" si="17"/>
        <v>40150</v>
      </c>
      <c r="P98" s="329">
        <v>18000</v>
      </c>
      <c r="Q98" s="321">
        <f t="shared" si="18"/>
        <v>-22150</v>
      </c>
      <c r="R98" s="3"/>
      <c r="U98" s="153"/>
      <c r="V98" s="153"/>
    </row>
    <row r="99" spans="1:19" ht="12.75">
      <c r="A99" s="151" t="s">
        <v>406</v>
      </c>
      <c r="B99" s="2"/>
      <c r="C99" s="330"/>
      <c r="D99" s="321">
        <v>0</v>
      </c>
      <c r="E99" s="321">
        <v>0</v>
      </c>
      <c r="F99" s="321">
        <v>0</v>
      </c>
      <c r="G99" s="321">
        <v>0</v>
      </c>
      <c r="H99" s="321">
        <v>0</v>
      </c>
      <c r="I99" s="321">
        <v>0</v>
      </c>
      <c r="J99" s="321">
        <v>0</v>
      </c>
      <c r="K99" s="321">
        <v>0</v>
      </c>
      <c r="L99" s="321">
        <v>0</v>
      </c>
      <c r="M99" s="321">
        <v>0</v>
      </c>
      <c r="N99" s="321">
        <v>0</v>
      </c>
      <c r="O99" s="322">
        <f t="shared" si="17"/>
        <v>0</v>
      </c>
      <c r="P99" s="329">
        <v>0</v>
      </c>
      <c r="Q99" s="321">
        <f t="shared" si="18"/>
        <v>0</v>
      </c>
      <c r="R99" s="3"/>
      <c r="S99" s="153"/>
    </row>
    <row r="100" spans="1:18" ht="12.75">
      <c r="A100" s="2" t="s">
        <v>231</v>
      </c>
      <c r="B100" s="2"/>
      <c r="C100" s="330">
        <v>40000</v>
      </c>
      <c r="D100" s="321">
        <v>0</v>
      </c>
      <c r="E100" s="321">
        <v>0</v>
      </c>
      <c r="F100" s="321">
        <v>0</v>
      </c>
      <c r="G100" s="321">
        <v>0</v>
      </c>
      <c r="H100" s="321">
        <v>0</v>
      </c>
      <c r="I100" s="321">
        <v>0</v>
      </c>
      <c r="J100" s="321">
        <v>0</v>
      </c>
      <c r="K100" s="321">
        <v>0</v>
      </c>
      <c r="L100" s="321">
        <v>0</v>
      </c>
      <c r="M100" s="321">
        <v>0</v>
      </c>
      <c r="N100" s="321">
        <v>0</v>
      </c>
      <c r="O100" s="322">
        <f t="shared" si="17"/>
        <v>40000</v>
      </c>
      <c r="P100" s="329">
        <v>0</v>
      </c>
      <c r="Q100" s="321">
        <f t="shared" si="18"/>
        <v>-40000</v>
      </c>
      <c r="R100" s="3"/>
    </row>
    <row r="101" spans="1:18" ht="12.75">
      <c r="A101" s="2" t="s">
        <v>463</v>
      </c>
      <c r="B101" s="2"/>
      <c r="C101" s="330">
        <f>SUM('Reserve Items'!M69:M71)</f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1">
        <v>0</v>
      </c>
      <c r="L101" s="321">
        <v>0</v>
      </c>
      <c r="M101" s="321">
        <v>0</v>
      </c>
      <c r="N101" s="321">
        <v>0</v>
      </c>
      <c r="O101" s="322">
        <f t="shared" si="17"/>
        <v>0</v>
      </c>
      <c r="P101" s="329">
        <v>0</v>
      </c>
      <c r="Q101" s="321">
        <f t="shared" si="18"/>
        <v>0</v>
      </c>
      <c r="R101" s="3"/>
    </row>
    <row r="102" spans="1:18" ht="12.75">
      <c r="A102" s="233"/>
      <c r="C102" s="324" t="s">
        <v>17</v>
      </c>
      <c r="D102" s="324" t="s">
        <v>17</v>
      </c>
      <c r="E102" s="324" t="s">
        <v>17</v>
      </c>
      <c r="F102" s="324" t="s">
        <v>17</v>
      </c>
      <c r="G102" s="324" t="s">
        <v>17</v>
      </c>
      <c r="H102" s="324" t="s">
        <v>17</v>
      </c>
      <c r="I102" s="324" t="s">
        <v>17</v>
      </c>
      <c r="J102" s="324" t="s">
        <v>17</v>
      </c>
      <c r="K102" s="324" t="s">
        <v>17</v>
      </c>
      <c r="L102" s="324" t="s">
        <v>17</v>
      </c>
      <c r="M102" s="324" t="s">
        <v>17</v>
      </c>
      <c r="N102" s="324" t="s">
        <v>17</v>
      </c>
      <c r="O102" s="325" t="s">
        <v>17</v>
      </c>
      <c r="P102" s="326"/>
      <c r="Q102" s="324"/>
      <c r="R102" s="4"/>
    </row>
    <row r="103" spans="3:19" ht="12.75"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27"/>
      <c r="P103" s="328"/>
      <c r="Q103" s="304"/>
      <c r="S103" s="176"/>
    </row>
    <row r="104" spans="1:18" ht="12.75">
      <c r="A104" s="2" t="s">
        <v>103</v>
      </c>
      <c r="C104" s="321">
        <f aca="true" t="shared" si="19" ref="C104:N104">SUM(C88:C103)</f>
        <v>719400</v>
      </c>
      <c r="D104" s="321">
        <f t="shared" si="19"/>
        <v>24000</v>
      </c>
      <c r="E104" s="321">
        <f t="shared" si="19"/>
        <v>24000</v>
      </c>
      <c r="F104" s="321">
        <f t="shared" si="19"/>
        <v>24000</v>
      </c>
      <c r="G104" s="321">
        <f t="shared" si="19"/>
        <v>24000</v>
      </c>
      <c r="H104" s="321">
        <f t="shared" si="19"/>
        <v>24000</v>
      </c>
      <c r="I104" s="321">
        <f t="shared" si="19"/>
        <v>24000</v>
      </c>
      <c r="J104" s="321">
        <f t="shared" si="19"/>
        <v>26260</v>
      </c>
      <c r="K104" s="321">
        <f t="shared" si="19"/>
        <v>24000</v>
      </c>
      <c r="L104" s="321">
        <f t="shared" si="19"/>
        <v>24000</v>
      </c>
      <c r="M104" s="321">
        <f t="shared" si="19"/>
        <v>24000</v>
      </c>
      <c r="N104" s="321">
        <f t="shared" si="19"/>
        <v>24000</v>
      </c>
      <c r="O104" s="327">
        <f>SUM(O88:O102)</f>
        <v>985660</v>
      </c>
      <c r="P104" s="328">
        <f>SUM(P88:P102)</f>
        <v>567900</v>
      </c>
      <c r="Q104" s="321">
        <f>SUM(Q88:Q102)</f>
        <v>-417300</v>
      </c>
      <c r="R104" s="3"/>
    </row>
    <row r="105" spans="3:18" ht="12.75">
      <c r="C105" s="324" t="s">
        <v>17</v>
      </c>
      <c r="D105" s="324" t="s">
        <v>17</v>
      </c>
      <c r="E105" s="324" t="s">
        <v>17</v>
      </c>
      <c r="F105" s="324" t="s">
        <v>17</v>
      </c>
      <c r="G105" s="324" t="s">
        <v>17</v>
      </c>
      <c r="H105" s="324" t="s">
        <v>17</v>
      </c>
      <c r="I105" s="324" t="s">
        <v>17</v>
      </c>
      <c r="J105" s="324" t="s">
        <v>17</v>
      </c>
      <c r="K105" s="324" t="s">
        <v>17</v>
      </c>
      <c r="L105" s="324" t="s">
        <v>17</v>
      </c>
      <c r="M105" s="324" t="s">
        <v>17</v>
      </c>
      <c r="N105" s="324" t="s">
        <v>17</v>
      </c>
      <c r="O105" s="325" t="s">
        <v>17</v>
      </c>
      <c r="P105" s="326" t="s">
        <v>17</v>
      </c>
      <c r="Q105" s="324" t="s">
        <v>17</v>
      </c>
      <c r="R105" s="4"/>
    </row>
    <row r="106" spans="3:17" ht="12.75"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27"/>
      <c r="P106" s="328"/>
      <c r="Q106" s="304"/>
    </row>
    <row r="107" spans="1:18" ht="12.75">
      <c r="A107" s="2" t="s">
        <v>104</v>
      </c>
      <c r="C107" s="321">
        <f aca="true" t="shared" si="20" ref="C107:P107">C84-C104</f>
        <v>0</v>
      </c>
      <c r="D107" s="321">
        <f t="shared" si="20"/>
        <v>0</v>
      </c>
      <c r="E107" s="321">
        <f t="shared" si="20"/>
        <v>0</v>
      </c>
      <c r="F107" s="321">
        <f t="shared" si="20"/>
        <v>0</v>
      </c>
      <c r="G107" s="321">
        <f t="shared" si="20"/>
        <v>0</v>
      </c>
      <c r="H107" s="321">
        <f t="shared" si="20"/>
        <v>0</v>
      </c>
      <c r="I107" s="321">
        <f t="shared" si="20"/>
        <v>0</v>
      </c>
      <c r="J107" s="321">
        <f t="shared" si="20"/>
        <v>0</v>
      </c>
      <c r="K107" s="321">
        <f t="shared" si="20"/>
        <v>0</v>
      </c>
      <c r="L107" s="321">
        <f t="shared" si="20"/>
        <v>0</v>
      </c>
      <c r="M107" s="321">
        <f t="shared" si="20"/>
        <v>0</v>
      </c>
      <c r="N107" s="321">
        <f t="shared" si="20"/>
        <v>0</v>
      </c>
      <c r="O107" s="322">
        <f t="shared" si="20"/>
        <v>0</v>
      </c>
      <c r="P107" s="323">
        <f t="shared" si="20"/>
        <v>-1800</v>
      </c>
      <c r="Q107" s="321">
        <f>Q84+Q104</f>
        <v>2260</v>
      </c>
      <c r="R107" s="3"/>
    </row>
    <row r="108" spans="3:18" ht="12.75">
      <c r="C108" s="324" t="s">
        <v>17</v>
      </c>
      <c r="D108" s="324" t="s">
        <v>17</v>
      </c>
      <c r="E108" s="324" t="s">
        <v>17</v>
      </c>
      <c r="F108" s="324" t="s">
        <v>17</v>
      </c>
      <c r="G108" s="324" t="s">
        <v>17</v>
      </c>
      <c r="H108" s="324" t="s">
        <v>17</v>
      </c>
      <c r="I108" s="324" t="s">
        <v>17</v>
      </c>
      <c r="J108" s="324" t="s">
        <v>17</v>
      </c>
      <c r="K108" s="324" t="s">
        <v>17</v>
      </c>
      <c r="L108" s="324" t="s">
        <v>17</v>
      </c>
      <c r="M108" s="324" t="s">
        <v>17</v>
      </c>
      <c r="N108" s="324" t="s">
        <v>17</v>
      </c>
      <c r="O108" s="325" t="s">
        <v>17</v>
      </c>
      <c r="P108" s="326" t="s">
        <v>17</v>
      </c>
      <c r="Q108" s="324" t="s">
        <v>17</v>
      </c>
      <c r="R108" s="4"/>
    </row>
    <row r="109" spans="3:17" ht="12.75"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27"/>
      <c r="P109" s="328"/>
      <c r="Q109" s="304"/>
    </row>
    <row r="110" spans="3:16" ht="12.75">
      <c r="C110" s="152"/>
      <c r="H110" s="175"/>
      <c r="I110" s="175"/>
      <c r="L110" s="175"/>
      <c r="M110" s="175"/>
      <c r="N110" s="152"/>
      <c r="O110" s="296"/>
      <c r="P110" s="301"/>
    </row>
    <row r="111" spans="1:15" ht="12.75">
      <c r="A111" s="174"/>
      <c r="O111" s="297"/>
    </row>
    <row r="112" spans="5:10" ht="12.75">
      <c r="E112" s="304"/>
      <c r="H112" s="173"/>
      <c r="I112" s="173"/>
      <c r="J112" s="173"/>
    </row>
    <row r="113" spans="8:14" ht="12.75">
      <c r="H113" s="173"/>
      <c r="I113" s="173"/>
      <c r="J113" s="173"/>
      <c r="L113" s="173"/>
      <c r="M113" s="173"/>
      <c r="N113" s="176"/>
    </row>
    <row r="114" spans="1:13" ht="12.75">
      <c r="A114" s="153"/>
      <c r="H114" s="173"/>
      <c r="I114" s="173"/>
      <c r="J114" s="173"/>
      <c r="L114" s="173"/>
      <c r="M114" s="173"/>
    </row>
    <row r="115" spans="1:13" ht="12.75">
      <c r="A115" s="153"/>
      <c r="H115" s="173"/>
      <c r="I115" s="173"/>
      <c r="L115" s="173"/>
      <c r="M115" s="173"/>
    </row>
    <row r="116" spans="1:13" ht="12.75">
      <c r="A116" s="153"/>
      <c r="H116" s="173"/>
      <c r="I116" s="173"/>
      <c r="L116" s="173"/>
      <c r="M116" s="173"/>
    </row>
    <row r="117" spans="1:13" ht="12.75">
      <c r="A117" s="153"/>
      <c r="H117" s="173"/>
      <c r="I117" s="173"/>
      <c r="L117" s="173"/>
      <c r="M117" s="173"/>
    </row>
    <row r="118" spans="1:13" ht="12.75">
      <c r="A118" s="153"/>
      <c r="E118" s="319"/>
      <c r="H118" s="173"/>
      <c r="I118" s="173"/>
      <c r="L118" s="173"/>
      <c r="M118" s="173"/>
    </row>
    <row r="119" spans="1:13" ht="12.75">
      <c r="A119" s="174"/>
      <c r="E119" s="319"/>
      <c r="H119" s="173"/>
      <c r="I119" s="173"/>
      <c r="L119" s="173"/>
      <c r="M119" s="173"/>
    </row>
    <row r="120" spans="5:13" ht="12.75">
      <c r="E120" s="319"/>
      <c r="H120" s="173"/>
      <c r="I120" s="173"/>
      <c r="J120" s="173"/>
      <c r="L120" s="173"/>
      <c r="M120" s="173"/>
    </row>
    <row r="121" spans="8:14" ht="12.75">
      <c r="H121" s="173"/>
      <c r="I121" s="173"/>
      <c r="J121" s="173"/>
      <c r="L121" s="173"/>
      <c r="M121" s="173"/>
      <c r="N121" s="176"/>
    </row>
    <row r="122" spans="8:14" ht="12.75">
      <c r="H122" s="173"/>
      <c r="I122" s="173"/>
      <c r="J122" s="173"/>
      <c r="L122" s="173"/>
      <c r="M122" s="173"/>
      <c r="N122" s="176"/>
    </row>
    <row r="123" spans="1:13" ht="12.75">
      <c r="A123" s="153"/>
      <c r="H123" s="173"/>
      <c r="I123" s="173"/>
      <c r="J123" s="173"/>
      <c r="L123" s="173"/>
      <c r="M123" s="173"/>
    </row>
    <row r="124" spans="12:13" ht="12.75">
      <c r="L124" s="173"/>
      <c r="M124" s="173"/>
    </row>
    <row r="125" spans="12:13" ht="12.75">
      <c r="L125" s="173"/>
      <c r="M125" s="173"/>
    </row>
  </sheetData>
  <sheetProtection/>
  <printOptions/>
  <pageMargins left="0.17" right="0.18" top="1" bottom="1" header="0.5" footer="0.5"/>
  <pageSetup fitToHeight="0" fitToWidth="1" horizontalDpi="600" verticalDpi="600" orientation="landscape" scale="79" r:id="rId3"/>
  <rowBreaks count="2" manualBreakCount="2">
    <brk id="41" max="16" man="1"/>
    <brk id="78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4.140625" style="0" customWidth="1"/>
    <col min="2" max="2" width="16.421875" style="0" customWidth="1"/>
    <col min="3" max="14" width="9.421875" style="0" customWidth="1"/>
    <col min="15" max="15" width="9.421875" style="376" customWidth="1"/>
    <col min="16" max="17" width="9.421875" style="0" customWidth="1"/>
  </cols>
  <sheetData>
    <row r="1" spans="1:17" ht="12.75">
      <c r="A1" s="428" t="s">
        <v>468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7" ht="12.75">
      <c r="A2" s="428" t="s">
        <v>550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</row>
    <row r="4" spans="3:17" ht="12.75">
      <c r="C4" s="426" t="s">
        <v>355</v>
      </c>
      <c r="D4" s="426"/>
      <c r="E4" s="426"/>
      <c r="F4" s="426"/>
      <c r="G4" s="426"/>
      <c r="H4" s="426"/>
      <c r="I4" s="426"/>
      <c r="J4" s="427" t="s">
        <v>356</v>
      </c>
      <c r="K4" s="427"/>
      <c r="L4" s="427"/>
      <c r="M4" s="427"/>
      <c r="N4" s="427"/>
      <c r="O4" s="377" t="s">
        <v>355</v>
      </c>
      <c r="P4" s="365" t="s">
        <v>0</v>
      </c>
      <c r="Q4" s="365" t="s">
        <v>0</v>
      </c>
    </row>
    <row r="5" spans="2:17" ht="12.75">
      <c r="B5" s="366" t="s">
        <v>1</v>
      </c>
      <c r="C5" s="367" t="s">
        <v>357</v>
      </c>
      <c r="D5" s="367" t="s">
        <v>358</v>
      </c>
      <c r="E5" s="367" t="s">
        <v>359</v>
      </c>
      <c r="F5" s="367" t="s">
        <v>360</v>
      </c>
      <c r="G5" s="367" t="s">
        <v>361</v>
      </c>
      <c r="H5" s="367" t="s">
        <v>362</v>
      </c>
      <c r="I5" s="367" t="s">
        <v>363</v>
      </c>
      <c r="J5" s="334" t="s">
        <v>399</v>
      </c>
      <c r="K5" s="368" t="s">
        <v>528</v>
      </c>
      <c r="L5" s="368" t="s">
        <v>364</v>
      </c>
      <c r="M5" s="368" t="s">
        <v>365</v>
      </c>
      <c r="N5" s="368" t="s">
        <v>366</v>
      </c>
      <c r="O5" s="378" t="s">
        <v>367</v>
      </c>
      <c r="P5" s="367" t="s">
        <v>368</v>
      </c>
      <c r="Q5" s="367" t="s">
        <v>10</v>
      </c>
    </row>
    <row r="6" spans="1:17" ht="12.75">
      <c r="A6" s="369" t="s">
        <v>11</v>
      </c>
      <c r="B6" s="370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9"/>
      <c r="P6" s="371"/>
      <c r="Q6" s="371"/>
    </row>
    <row r="7" spans="1:17" ht="12.75">
      <c r="A7" s="279" t="s">
        <v>12</v>
      </c>
      <c r="B7" s="280" t="s">
        <v>13</v>
      </c>
      <c r="C7" s="277">
        <v>107399</v>
      </c>
      <c r="D7" s="277">
        <v>107399</v>
      </c>
      <c r="E7" s="277">
        <v>107399</v>
      </c>
      <c r="F7" s="277">
        <v>107399</v>
      </c>
      <c r="G7" s="277">
        <v>107399</v>
      </c>
      <c r="H7" s="277">
        <v>107399</v>
      </c>
      <c r="I7" s="277">
        <v>107399</v>
      </c>
      <c r="J7" s="277">
        <v>107399</v>
      </c>
      <c r="K7" s="277">
        <v>107400</v>
      </c>
      <c r="L7" s="277">
        <v>107400</v>
      </c>
      <c r="M7" s="277">
        <v>107400</v>
      </c>
      <c r="N7" s="277">
        <v>107395</v>
      </c>
      <c r="O7" s="380">
        <f>SUM(C7:N7)</f>
        <v>1288787</v>
      </c>
      <c r="P7" s="277">
        <v>1288795</v>
      </c>
      <c r="Q7" s="277">
        <f>O7-P7</f>
        <v>-8</v>
      </c>
    </row>
    <row r="8" spans="1:17" ht="12.75">
      <c r="A8" s="279" t="s">
        <v>14</v>
      </c>
      <c r="B8" s="280" t="s">
        <v>15</v>
      </c>
      <c r="C8" s="277">
        <v>9</v>
      </c>
      <c r="D8" s="277">
        <v>9</v>
      </c>
      <c r="E8" s="277">
        <v>9</v>
      </c>
      <c r="F8" s="277">
        <v>9</v>
      </c>
      <c r="G8" s="277">
        <v>10</v>
      </c>
      <c r="H8" s="277">
        <v>8</v>
      </c>
      <c r="I8" s="277">
        <v>8</v>
      </c>
      <c r="J8" s="277">
        <v>8</v>
      </c>
      <c r="K8" s="277">
        <v>12</v>
      </c>
      <c r="L8" s="277">
        <v>12</v>
      </c>
      <c r="M8" s="277">
        <v>12</v>
      </c>
      <c r="N8" s="277">
        <v>12</v>
      </c>
      <c r="O8" s="380">
        <f>SUM(C8:N8)</f>
        <v>118</v>
      </c>
      <c r="P8" s="277">
        <v>144</v>
      </c>
      <c r="Q8" s="277">
        <f>O8-P8</f>
        <v>-26</v>
      </c>
    </row>
    <row r="9" spans="1:17" ht="12.75">
      <c r="A9" s="279" t="s">
        <v>369</v>
      </c>
      <c r="B9" s="280" t="s">
        <v>370</v>
      </c>
      <c r="C9" s="277">
        <v>132</v>
      </c>
      <c r="D9" s="277">
        <v>112</v>
      </c>
      <c r="E9" s="277">
        <v>32</v>
      </c>
      <c r="F9" s="277">
        <v>53</v>
      </c>
      <c r="G9" s="277">
        <v>32</v>
      </c>
      <c r="H9" s="277">
        <v>16</v>
      </c>
      <c r="I9" s="277">
        <v>32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380">
        <f>SUM(C9:N9)</f>
        <v>409</v>
      </c>
      <c r="P9" s="277">
        <v>0</v>
      </c>
      <c r="Q9" s="277">
        <f>O9-P9</f>
        <v>409</v>
      </c>
    </row>
    <row r="10" spans="1:17" ht="12.75">
      <c r="A10" s="279" t="s">
        <v>371</v>
      </c>
      <c r="B10" s="280" t="s">
        <v>16</v>
      </c>
      <c r="C10" s="278">
        <v>1654</v>
      </c>
      <c r="D10" s="278">
        <v>1654</v>
      </c>
      <c r="E10" s="278">
        <v>1654</v>
      </c>
      <c r="F10" s="278">
        <v>1654</v>
      </c>
      <c r="G10" s="278">
        <v>1654</v>
      </c>
      <c r="H10" s="278">
        <v>1654</v>
      </c>
      <c r="I10" s="278">
        <v>1654</v>
      </c>
      <c r="J10" s="278">
        <v>1654</v>
      </c>
      <c r="K10" s="278">
        <v>1654</v>
      </c>
      <c r="L10" s="278">
        <v>1654</v>
      </c>
      <c r="M10" s="278">
        <v>1654</v>
      </c>
      <c r="N10" s="278">
        <v>1654</v>
      </c>
      <c r="O10" s="380">
        <f>SUM(C10:N10)</f>
        <v>19848</v>
      </c>
      <c r="P10" s="278">
        <v>19848</v>
      </c>
      <c r="Q10" s="277">
        <f>O10-P10</f>
        <v>0</v>
      </c>
    </row>
    <row r="11" spans="1:17" ht="12.75">
      <c r="A11" s="279"/>
      <c r="B11" s="280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86"/>
      <c r="P11" s="372"/>
      <c r="Q11" s="387"/>
    </row>
    <row r="12" spans="1:17" ht="12.75">
      <c r="A12" s="279" t="s">
        <v>18</v>
      </c>
      <c r="B12" s="280"/>
      <c r="C12" s="278">
        <f aca="true" t="shared" si="0" ref="C12:N12">SUM(C7:C10)</f>
        <v>109194</v>
      </c>
      <c r="D12" s="278">
        <f t="shared" si="0"/>
        <v>109174</v>
      </c>
      <c r="E12" s="278">
        <f t="shared" si="0"/>
        <v>109094</v>
      </c>
      <c r="F12" s="278">
        <f t="shared" si="0"/>
        <v>109115</v>
      </c>
      <c r="G12" s="278">
        <f t="shared" si="0"/>
        <v>109095</v>
      </c>
      <c r="H12" s="278">
        <f t="shared" si="0"/>
        <v>109077</v>
      </c>
      <c r="I12" s="278">
        <f t="shared" si="0"/>
        <v>109093</v>
      </c>
      <c r="J12" s="278">
        <f t="shared" si="0"/>
        <v>109061</v>
      </c>
      <c r="K12" s="278">
        <f t="shared" si="0"/>
        <v>109066</v>
      </c>
      <c r="L12" s="278">
        <f t="shared" si="0"/>
        <v>109066</v>
      </c>
      <c r="M12" s="278">
        <f t="shared" si="0"/>
        <v>109066</v>
      </c>
      <c r="N12" s="278">
        <f t="shared" si="0"/>
        <v>109061</v>
      </c>
      <c r="O12" s="381">
        <f>SUM(O7:O10)</f>
        <v>1309162</v>
      </c>
      <c r="P12" s="278">
        <f>SUM(P7:P10)</f>
        <v>1308787</v>
      </c>
      <c r="Q12" s="278">
        <f>SUM(Q7:Q11)</f>
        <v>375</v>
      </c>
    </row>
    <row r="13" spans="1:17" ht="12.75">
      <c r="A13" s="279"/>
      <c r="B13" s="280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82"/>
      <c r="P13" s="372"/>
      <c r="Q13" s="372"/>
    </row>
    <row r="14" spans="1:17" ht="12.75">
      <c r="A14" s="369" t="s">
        <v>19</v>
      </c>
      <c r="B14" s="370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9"/>
      <c r="P14" s="371"/>
      <c r="Q14" s="371"/>
    </row>
    <row r="15" spans="1:17" ht="12.75">
      <c r="A15" s="279" t="s">
        <v>20</v>
      </c>
      <c r="B15" s="280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82"/>
      <c r="P15" s="372"/>
      <c r="Q15" s="372"/>
    </row>
    <row r="16" spans="1:17" ht="26.25">
      <c r="A16" s="279" t="s">
        <v>21</v>
      </c>
      <c r="B16" s="280" t="s">
        <v>22</v>
      </c>
      <c r="C16" s="277">
        <v>28211</v>
      </c>
      <c r="D16" s="277">
        <v>0</v>
      </c>
      <c r="E16" s="277">
        <v>-28070</v>
      </c>
      <c r="F16" s="277">
        <v>0</v>
      </c>
      <c r="G16" s="277">
        <v>0</v>
      </c>
      <c r="H16" s="277">
        <v>0</v>
      </c>
      <c r="I16" s="277">
        <v>0</v>
      </c>
      <c r="J16" s="395">
        <v>1109</v>
      </c>
      <c r="K16" s="395">
        <v>-1109</v>
      </c>
      <c r="L16" s="277">
        <v>0</v>
      </c>
      <c r="M16" s="277">
        <v>0</v>
      </c>
      <c r="N16" s="277">
        <v>0</v>
      </c>
      <c r="O16" s="380">
        <f>SUM(C16:N16)</f>
        <v>141</v>
      </c>
      <c r="P16" s="277">
        <v>0</v>
      </c>
      <c r="Q16" s="277">
        <f>P16-O16</f>
        <v>-141</v>
      </c>
    </row>
    <row r="17" spans="1:17" ht="12.75">
      <c r="A17" s="279" t="s">
        <v>529</v>
      </c>
      <c r="B17" s="280" t="s">
        <v>23</v>
      </c>
      <c r="C17" s="278">
        <v>527</v>
      </c>
      <c r="D17" s="278">
        <v>527</v>
      </c>
      <c r="E17" s="278">
        <v>527</v>
      </c>
      <c r="F17" s="278">
        <v>527</v>
      </c>
      <c r="G17" s="278">
        <v>535</v>
      </c>
      <c r="H17" s="278">
        <v>260</v>
      </c>
      <c r="I17" s="278">
        <v>260</v>
      </c>
      <c r="J17" s="278">
        <v>260</v>
      </c>
      <c r="K17" s="278">
        <v>25</v>
      </c>
      <c r="L17" s="278">
        <v>25</v>
      </c>
      <c r="M17" s="278">
        <v>25</v>
      </c>
      <c r="N17" s="278">
        <v>25</v>
      </c>
      <c r="O17" s="380">
        <f>SUM(C17:N17)</f>
        <v>3523</v>
      </c>
      <c r="P17" s="278">
        <v>300</v>
      </c>
      <c r="Q17" s="278">
        <v>-2988</v>
      </c>
    </row>
    <row r="18" spans="1:17" ht="12.75">
      <c r="A18" s="279"/>
      <c r="B18" s="280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86"/>
      <c r="P18" s="372"/>
      <c r="Q18" s="372"/>
    </row>
    <row r="19" spans="1:17" ht="12.75">
      <c r="A19" s="279" t="s">
        <v>24</v>
      </c>
      <c r="B19" s="280"/>
      <c r="C19" s="278">
        <f>SUM(C16:C18)</f>
        <v>28738</v>
      </c>
      <c r="D19" s="278">
        <f aca="true" t="shared" si="1" ref="D19:N19">SUM(D16:D18)</f>
        <v>527</v>
      </c>
      <c r="E19" s="278">
        <f t="shared" si="1"/>
        <v>-27543</v>
      </c>
      <c r="F19" s="278">
        <f t="shared" si="1"/>
        <v>527</v>
      </c>
      <c r="G19" s="278">
        <f t="shared" si="1"/>
        <v>535</v>
      </c>
      <c r="H19" s="278">
        <f t="shared" si="1"/>
        <v>260</v>
      </c>
      <c r="I19" s="278">
        <f t="shared" si="1"/>
        <v>260</v>
      </c>
      <c r="J19" s="278">
        <f t="shared" si="1"/>
        <v>1369</v>
      </c>
      <c r="K19" s="278">
        <f t="shared" si="1"/>
        <v>-1084</v>
      </c>
      <c r="L19" s="278">
        <f t="shared" si="1"/>
        <v>25</v>
      </c>
      <c r="M19" s="278">
        <f t="shared" si="1"/>
        <v>25</v>
      </c>
      <c r="N19" s="278">
        <f t="shared" si="1"/>
        <v>25</v>
      </c>
      <c r="O19" s="381">
        <f>SUM(O16:O17)</f>
        <v>3664</v>
      </c>
      <c r="P19" s="278">
        <f>SUM(P16:P17)</f>
        <v>300</v>
      </c>
      <c r="Q19" s="278">
        <f>SUM(Q16:Q18)</f>
        <v>-3129</v>
      </c>
    </row>
    <row r="20" spans="1:17" ht="12.75">
      <c r="A20" s="279"/>
      <c r="B20" s="280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82"/>
      <c r="P20" s="372"/>
      <c r="Q20" s="372"/>
    </row>
    <row r="21" spans="1:17" ht="12.75">
      <c r="A21" s="279" t="s">
        <v>25</v>
      </c>
      <c r="B21" s="280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82"/>
      <c r="P21" s="372"/>
      <c r="Q21" s="372"/>
    </row>
    <row r="22" spans="1:17" ht="12.75">
      <c r="A22" s="279" t="s">
        <v>26</v>
      </c>
      <c r="B22" s="280" t="s">
        <v>27</v>
      </c>
      <c r="C22" s="277">
        <v>1850</v>
      </c>
      <c r="D22" s="277">
        <v>1850</v>
      </c>
      <c r="E22" s="277">
        <v>1850</v>
      </c>
      <c r="F22" s="277">
        <v>1850</v>
      </c>
      <c r="G22" s="277">
        <v>1850</v>
      </c>
      <c r="H22" s="277">
        <v>1850</v>
      </c>
      <c r="I22" s="277">
        <v>1850</v>
      </c>
      <c r="J22" s="277">
        <v>1850</v>
      </c>
      <c r="K22" s="277">
        <v>1850</v>
      </c>
      <c r="L22" s="277">
        <v>1850</v>
      </c>
      <c r="M22" s="277">
        <v>1850</v>
      </c>
      <c r="N22" s="277">
        <v>1850</v>
      </c>
      <c r="O22" s="380">
        <f>SUM(C22:N22)</f>
        <v>22200</v>
      </c>
      <c r="P22" s="277">
        <v>22200</v>
      </c>
      <c r="Q22" s="277">
        <f>P22-O22</f>
        <v>0</v>
      </c>
    </row>
    <row r="23" spans="1:17" ht="12.75">
      <c r="A23" s="279" t="s">
        <v>530</v>
      </c>
      <c r="B23" s="280" t="s">
        <v>426</v>
      </c>
      <c r="C23" s="277">
        <v>3</v>
      </c>
      <c r="D23" s="277">
        <v>78</v>
      </c>
      <c r="E23" s="277">
        <v>23</v>
      </c>
      <c r="F23" s="277">
        <v>3</v>
      </c>
      <c r="G23" s="277">
        <v>3</v>
      </c>
      <c r="H23" s="277">
        <v>3</v>
      </c>
      <c r="I23" s="277">
        <v>3</v>
      </c>
      <c r="J23" s="277">
        <v>3</v>
      </c>
      <c r="K23" s="277">
        <v>0</v>
      </c>
      <c r="L23" s="277">
        <v>0</v>
      </c>
      <c r="M23" s="277">
        <v>0</v>
      </c>
      <c r="N23" s="277">
        <v>0</v>
      </c>
      <c r="O23" s="380">
        <f aca="true" t="shared" si="2" ref="O23:O33">SUM(C23:N23)</f>
        <v>119</v>
      </c>
      <c r="P23" s="277">
        <v>0</v>
      </c>
      <c r="Q23" s="277">
        <f aca="true" t="shared" si="3" ref="Q23:Q33">P23-O23</f>
        <v>-119</v>
      </c>
    </row>
    <row r="24" spans="1:17" ht="12.75">
      <c r="A24" s="279" t="s">
        <v>30</v>
      </c>
      <c r="B24" s="280" t="s">
        <v>31</v>
      </c>
      <c r="C24" s="277">
        <v>1200</v>
      </c>
      <c r="D24" s="277">
        <v>1200</v>
      </c>
      <c r="E24" s="277">
        <v>1200</v>
      </c>
      <c r="F24" s="277">
        <v>1200</v>
      </c>
      <c r="G24" s="277">
        <v>1200</v>
      </c>
      <c r="H24" s="277">
        <v>1200</v>
      </c>
      <c r="I24" s="277">
        <v>1200</v>
      </c>
      <c r="J24" s="277">
        <v>1200</v>
      </c>
      <c r="K24" s="277">
        <v>1500</v>
      </c>
      <c r="L24" s="277">
        <v>1400</v>
      </c>
      <c r="M24" s="277">
        <v>1400</v>
      </c>
      <c r="N24" s="277">
        <v>1400</v>
      </c>
      <c r="O24" s="380">
        <f t="shared" si="2"/>
        <v>15300</v>
      </c>
      <c r="P24" s="277">
        <v>16900</v>
      </c>
      <c r="Q24" s="277">
        <f t="shared" si="3"/>
        <v>1600</v>
      </c>
    </row>
    <row r="25" spans="1:17" ht="12.75">
      <c r="A25" s="279" t="s">
        <v>233</v>
      </c>
      <c r="B25" s="280" t="s">
        <v>251</v>
      </c>
      <c r="C25" s="277">
        <v>0</v>
      </c>
      <c r="D25" s="277">
        <v>741</v>
      </c>
      <c r="E25" s="277">
        <v>582</v>
      </c>
      <c r="F25" s="277">
        <v>2800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380">
        <f t="shared" si="2"/>
        <v>4123</v>
      </c>
      <c r="P25" s="277">
        <v>6400</v>
      </c>
      <c r="Q25" s="277">
        <f t="shared" si="3"/>
        <v>2277</v>
      </c>
    </row>
    <row r="26" spans="1:17" ht="12.75">
      <c r="A26" s="279" t="s">
        <v>32</v>
      </c>
      <c r="B26" s="280" t="s">
        <v>33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f>7100+1109</f>
        <v>8209</v>
      </c>
      <c r="L26" s="277">
        <v>0</v>
      </c>
      <c r="M26" s="277">
        <v>700</v>
      </c>
      <c r="N26" s="277">
        <v>0</v>
      </c>
      <c r="O26" s="380">
        <f t="shared" si="2"/>
        <v>8909</v>
      </c>
      <c r="P26" s="277">
        <v>7800</v>
      </c>
      <c r="Q26" s="277">
        <f t="shared" si="3"/>
        <v>-1109</v>
      </c>
    </row>
    <row r="27" spans="1:17" ht="12.75">
      <c r="A27" s="279" t="s">
        <v>36</v>
      </c>
      <c r="B27" s="280" t="s">
        <v>37</v>
      </c>
      <c r="C27" s="277">
        <v>264</v>
      </c>
      <c r="D27" s="277">
        <v>0</v>
      </c>
      <c r="E27" s="277">
        <v>0</v>
      </c>
      <c r="F27" s="277">
        <v>48</v>
      </c>
      <c r="G27" s="277">
        <v>0</v>
      </c>
      <c r="H27" s="277">
        <v>0</v>
      </c>
      <c r="I27" s="277">
        <v>0</v>
      </c>
      <c r="J27" s="277">
        <v>0</v>
      </c>
      <c r="K27" s="277">
        <v>50</v>
      </c>
      <c r="L27" s="277">
        <v>50</v>
      </c>
      <c r="M27" s="277">
        <v>50</v>
      </c>
      <c r="N27" s="277">
        <v>50</v>
      </c>
      <c r="O27" s="380">
        <f t="shared" si="2"/>
        <v>512</v>
      </c>
      <c r="P27" s="277">
        <v>600</v>
      </c>
      <c r="Q27" s="277">
        <f t="shared" si="3"/>
        <v>88</v>
      </c>
    </row>
    <row r="28" spans="1:17" ht="12.75">
      <c r="A28" s="279" t="s">
        <v>372</v>
      </c>
      <c r="B28" s="280" t="s">
        <v>294</v>
      </c>
      <c r="C28" s="277">
        <v>0</v>
      </c>
      <c r="D28" s="277">
        <v>0</v>
      </c>
      <c r="E28" s="277">
        <v>0</v>
      </c>
      <c r="F28" s="277">
        <v>750</v>
      </c>
      <c r="G28" s="277">
        <v>0</v>
      </c>
      <c r="H28" s="277">
        <v>300</v>
      </c>
      <c r="I28" s="277">
        <v>0</v>
      </c>
      <c r="J28" s="277">
        <v>0</v>
      </c>
      <c r="K28" s="277">
        <v>700</v>
      </c>
      <c r="L28" s="277">
        <v>700</v>
      </c>
      <c r="M28" s="277">
        <v>700</v>
      </c>
      <c r="N28" s="277">
        <v>700</v>
      </c>
      <c r="O28" s="380">
        <f t="shared" si="2"/>
        <v>3850</v>
      </c>
      <c r="P28" s="277">
        <v>13700</v>
      </c>
      <c r="Q28" s="277">
        <f t="shared" si="3"/>
        <v>9850</v>
      </c>
    </row>
    <row r="29" spans="1:17" ht="12.75">
      <c r="A29" s="279" t="s">
        <v>38</v>
      </c>
      <c r="B29" s="280" t="s">
        <v>39</v>
      </c>
      <c r="C29" s="277">
        <v>2000</v>
      </c>
      <c r="D29" s="277">
        <v>2000</v>
      </c>
      <c r="E29" s="277">
        <v>2000</v>
      </c>
      <c r="F29" s="277">
        <v>2000</v>
      </c>
      <c r="G29" s="277">
        <v>2000</v>
      </c>
      <c r="H29" s="277">
        <v>2000</v>
      </c>
      <c r="I29" s="277">
        <v>2000</v>
      </c>
      <c r="J29" s="277">
        <v>2000</v>
      </c>
      <c r="K29" s="395">
        <v>2000</v>
      </c>
      <c r="L29" s="395">
        <v>2000</v>
      </c>
      <c r="M29" s="395">
        <v>2000</v>
      </c>
      <c r="N29" s="395">
        <v>2000</v>
      </c>
      <c r="O29" s="380">
        <f t="shared" si="2"/>
        <v>24000</v>
      </c>
      <c r="P29" s="277">
        <v>24000</v>
      </c>
      <c r="Q29" s="277">
        <f t="shared" si="3"/>
        <v>0</v>
      </c>
    </row>
    <row r="30" spans="1:17" ht="12.75">
      <c r="A30" s="279" t="s">
        <v>531</v>
      </c>
      <c r="B30" s="280" t="s">
        <v>40</v>
      </c>
      <c r="C30" s="277">
        <v>14363</v>
      </c>
      <c r="D30" s="277">
        <v>14363</v>
      </c>
      <c r="E30" s="277">
        <v>14363</v>
      </c>
      <c r="F30" s="277">
        <v>-33188</v>
      </c>
      <c r="G30" s="277">
        <v>2673</v>
      </c>
      <c r="H30" s="277">
        <v>2673</v>
      </c>
      <c r="I30" s="277">
        <v>2673</v>
      </c>
      <c r="J30" s="277">
        <v>2673</v>
      </c>
      <c r="K30" s="395">
        <v>2673</v>
      </c>
      <c r="L30" s="395">
        <v>2673</v>
      </c>
      <c r="M30" s="395">
        <v>2673</v>
      </c>
      <c r="N30" s="395">
        <v>2673</v>
      </c>
      <c r="O30" s="380">
        <f t="shared" si="2"/>
        <v>31285</v>
      </c>
      <c r="P30" s="277">
        <v>210000</v>
      </c>
      <c r="Q30" s="277">
        <f t="shared" si="3"/>
        <v>178715</v>
      </c>
    </row>
    <row r="31" spans="1:17" ht="12.75">
      <c r="A31" s="279" t="s">
        <v>419</v>
      </c>
      <c r="B31" s="280" t="s">
        <v>420</v>
      </c>
      <c r="C31" s="277">
        <v>0</v>
      </c>
      <c r="D31" s="277">
        <v>0</v>
      </c>
      <c r="E31" s="277">
        <v>0</v>
      </c>
      <c r="F31" s="277">
        <v>-3100</v>
      </c>
      <c r="G31" s="277">
        <v>0</v>
      </c>
      <c r="H31" s="277">
        <v>0</v>
      </c>
      <c r="I31" s="277">
        <v>0</v>
      </c>
      <c r="J31" s="277">
        <v>0</v>
      </c>
      <c r="K31" s="395">
        <v>0</v>
      </c>
      <c r="L31" s="395">
        <v>0</v>
      </c>
      <c r="M31" s="395">
        <v>0</v>
      </c>
      <c r="N31" s="395">
        <v>0</v>
      </c>
      <c r="O31" s="380">
        <f t="shared" si="2"/>
        <v>-3100</v>
      </c>
      <c r="P31" s="277">
        <v>0</v>
      </c>
      <c r="Q31" s="277">
        <f t="shared" si="3"/>
        <v>3100</v>
      </c>
    </row>
    <row r="32" spans="1:17" ht="12.75">
      <c r="A32" s="279" t="s">
        <v>532</v>
      </c>
      <c r="B32" s="280" t="s">
        <v>533</v>
      </c>
      <c r="C32" s="277">
        <v>0</v>
      </c>
      <c r="D32" s="277">
        <v>0</v>
      </c>
      <c r="E32" s="277">
        <v>0</v>
      </c>
      <c r="F32" s="277">
        <v>47814</v>
      </c>
      <c r="G32" s="277">
        <v>11954</v>
      </c>
      <c r="H32" s="277">
        <v>11954</v>
      </c>
      <c r="I32" s="277">
        <v>11954</v>
      </c>
      <c r="J32" s="277">
        <v>11954</v>
      </c>
      <c r="K32" s="395">
        <v>11954</v>
      </c>
      <c r="L32" s="395">
        <v>11954</v>
      </c>
      <c r="M32" s="395">
        <v>11954</v>
      </c>
      <c r="N32" s="395">
        <v>11954</v>
      </c>
      <c r="O32" s="380">
        <f t="shared" si="2"/>
        <v>143446</v>
      </c>
      <c r="P32" s="277">
        <v>0</v>
      </c>
      <c r="Q32" s="277">
        <f t="shared" si="3"/>
        <v>-143446</v>
      </c>
    </row>
    <row r="33" spans="1:17" ht="12.75">
      <c r="A33" s="279" t="s">
        <v>373</v>
      </c>
      <c r="B33" s="280" t="s">
        <v>295</v>
      </c>
      <c r="C33" s="278">
        <v>293</v>
      </c>
      <c r="D33" s="278">
        <v>293</v>
      </c>
      <c r="E33" s="278">
        <v>293</v>
      </c>
      <c r="F33" s="278">
        <v>304</v>
      </c>
      <c r="G33" s="278">
        <v>-612</v>
      </c>
      <c r="H33" s="278">
        <v>117</v>
      </c>
      <c r="I33" s="278">
        <v>117</v>
      </c>
      <c r="J33" s="278">
        <v>117</v>
      </c>
      <c r="K33" s="396">
        <v>117</v>
      </c>
      <c r="L33" s="396">
        <v>117</v>
      </c>
      <c r="M33" s="396">
        <v>117</v>
      </c>
      <c r="N33" s="396">
        <v>117</v>
      </c>
      <c r="O33" s="380">
        <f t="shared" si="2"/>
        <v>1390</v>
      </c>
      <c r="P33" s="278">
        <v>2284</v>
      </c>
      <c r="Q33" s="277">
        <f t="shared" si="3"/>
        <v>894</v>
      </c>
    </row>
    <row r="34" spans="1:17" ht="12.75">
      <c r="A34" s="279"/>
      <c r="B34" s="280"/>
      <c r="C34" s="372"/>
      <c r="D34" s="372"/>
      <c r="E34" s="372"/>
      <c r="F34" s="372"/>
      <c r="G34" s="372"/>
      <c r="H34" s="372"/>
      <c r="I34" s="372"/>
      <c r="J34" s="372"/>
      <c r="K34" s="397"/>
      <c r="L34" s="397"/>
      <c r="M34" s="397"/>
      <c r="N34" s="397"/>
      <c r="O34" s="386"/>
      <c r="P34" s="372"/>
      <c r="Q34" s="387"/>
    </row>
    <row r="35" spans="1:17" ht="12.75">
      <c r="A35" s="279" t="s">
        <v>42</v>
      </c>
      <c r="B35" s="280"/>
      <c r="C35" s="278">
        <f aca="true" t="shared" si="4" ref="C35:P35">SUM(C22:C33)</f>
        <v>19973</v>
      </c>
      <c r="D35" s="278">
        <f t="shared" si="4"/>
        <v>20525</v>
      </c>
      <c r="E35" s="278">
        <f t="shared" si="4"/>
        <v>20311</v>
      </c>
      <c r="F35" s="278">
        <f t="shared" si="4"/>
        <v>20481</v>
      </c>
      <c r="G35" s="278">
        <f t="shared" si="4"/>
        <v>19068</v>
      </c>
      <c r="H35" s="278">
        <f t="shared" si="4"/>
        <v>20097</v>
      </c>
      <c r="I35" s="278">
        <f t="shared" si="4"/>
        <v>19797</v>
      </c>
      <c r="J35" s="278">
        <f t="shared" si="4"/>
        <v>19797</v>
      </c>
      <c r="K35" s="396">
        <f t="shared" si="4"/>
        <v>29053</v>
      </c>
      <c r="L35" s="396">
        <f t="shared" si="4"/>
        <v>20744</v>
      </c>
      <c r="M35" s="396">
        <f t="shared" si="4"/>
        <v>21444</v>
      </c>
      <c r="N35" s="396">
        <f t="shared" si="4"/>
        <v>20744</v>
      </c>
      <c r="O35" s="381">
        <f t="shared" si="4"/>
        <v>252034</v>
      </c>
      <c r="P35" s="278">
        <f t="shared" si="4"/>
        <v>303884</v>
      </c>
      <c r="Q35" s="278">
        <f>SUM(Q22:Q34)</f>
        <v>51850</v>
      </c>
    </row>
    <row r="36" spans="1:17" ht="12.75">
      <c r="A36" s="279"/>
      <c r="B36" s="280"/>
      <c r="C36" s="372"/>
      <c r="D36" s="372"/>
      <c r="E36" s="372"/>
      <c r="F36" s="372"/>
      <c r="G36" s="372"/>
      <c r="H36" s="372"/>
      <c r="I36" s="372"/>
      <c r="J36" s="372"/>
      <c r="K36" s="397"/>
      <c r="L36" s="397"/>
      <c r="M36" s="397"/>
      <c r="N36" s="397"/>
      <c r="O36" s="380"/>
      <c r="P36" s="372"/>
      <c r="Q36" s="372"/>
    </row>
    <row r="37" spans="1:17" ht="12.75">
      <c r="A37" s="279" t="s">
        <v>43</v>
      </c>
      <c r="B37" s="280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82"/>
      <c r="P37" s="372"/>
      <c r="Q37" s="372"/>
    </row>
    <row r="38" spans="1:17" ht="12.75">
      <c r="A38" s="279" t="s">
        <v>44</v>
      </c>
      <c r="B38" s="280" t="s">
        <v>45</v>
      </c>
      <c r="C38" s="277">
        <v>77</v>
      </c>
      <c r="D38" s="277">
        <v>0</v>
      </c>
      <c r="E38" s="277">
        <v>0</v>
      </c>
      <c r="F38" s="277">
        <v>856</v>
      </c>
      <c r="G38" s="277">
        <v>702</v>
      </c>
      <c r="H38" s="277">
        <v>0</v>
      </c>
      <c r="I38" s="277">
        <v>1385</v>
      </c>
      <c r="J38" s="277">
        <v>702</v>
      </c>
      <c r="K38" s="277">
        <v>167</v>
      </c>
      <c r="L38" s="277">
        <v>167</v>
      </c>
      <c r="M38" s="277">
        <v>167</v>
      </c>
      <c r="N38" s="277">
        <v>163</v>
      </c>
      <c r="O38" s="380">
        <f>SUM(C38:N38)</f>
        <v>4386</v>
      </c>
      <c r="P38" s="277">
        <v>2000</v>
      </c>
      <c r="Q38" s="277">
        <f>P38-O38</f>
        <v>-2386</v>
      </c>
    </row>
    <row r="39" spans="1:17" ht="12.75">
      <c r="A39" s="279" t="s">
        <v>46</v>
      </c>
      <c r="B39" s="280" t="s">
        <v>47</v>
      </c>
      <c r="C39" s="277">
        <v>0</v>
      </c>
      <c r="D39" s="277">
        <v>3056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f>400-3056</f>
        <v>-2656</v>
      </c>
      <c r="L39" s="277">
        <v>400</v>
      </c>
      <c r="M39" s="277">
        <v>400</v>
      </c>
      <c r="N39" s="277">
        <v>400</v>
      </c>
      <c r="O39" s="380">
        <v>5056</v>
      </c>
      <c r="P39" s="277">
        <v>4800</v>
      </c>
      <c r="Q39" s="277">
        <f aca="true" t="shared" si="5" ref="Q39:Q49">P39-O39</f>
        <v>-256</v>
      </c>
    </row>
    <row r="40" spans="1:17" ht="12.75">
      <c r="A40" s="279" t="s">
        <v>48</v>
      </c>
      <c r="B40" s="280" t="s">
        <v>49</v>
      </c>
      <c r="C40" s="277">
        <v>7500</v>
      </c>
      <c r="D40" s="277">
        <v>7500</v>
      </c>
      <c r="E40" s="277">
        <v>7500</v>
      </c>
      <c r="F40" s="277">
        <v>7500</v>
      </c>
      <c r="G40" s="277">
        <v>7500</v>
      </c>
      <c r="H40" s="277">
        <v>7500</v>
      </c>
      <c r="I40" s="277">
        <v>7500</v>
      </c>
      <c r="J40" s="277">
        <v>7500</v>
      </c>
      <c r="K40" s="277">
        <v>7500</v>
      </c>
      <c r="L40" s="277">
        <v>7500</v>
      </c>
      <c r="M40" s="277">
        <v>7500</v>
      </c>
      <c r="N40" s="277">
        <v>7500</v>
      </c>
      <c r="O40" s="380">
        <v>90000</v>
      </c>
      <c r="P40" s="277">
        <v>90000</v>
      </c>
      <c r="Q40" s="277">
        <f t="shared" si="5"/>
        <v>0</v>
      </c>
    </row>
    <row r="41" spans="1:17" ht="12.75">
      <c r="A41" s="279" t="s">
        <v>50</v>
      </c>
      <c r="B41" s="280" t="s">
        <v>51</v>
      </c>
      <c r="C41" s="277">
        <v>1021</v>
      </c>
      <c r="D41" s="277">
        <v>0</v>
      </c>
      <c r="E41" s="277">
        <v>0</v>
      </c>
      <c r="F41" s="277">
        <v>0</v>
      </c>
      <c r="G41" s="277">
        <v>0</v>
      </c>
      <c r="H41" s="277">
        <v>0</v>
      </c>
      <c r="I41" s="277">
        <v>0</v>
      </c>
      <c r="J41" s="277">
        <v>0</v>
      </c>
      <c r="K41" s="277">
        <v>0</v>
      </c>
      <c r="L41" s="277">
        <v>0</v>
      </c>
      <c r="M41" s="277">
        <v>0</v>
      </c>
      <c r="N41" s="277">
        <v>0</v>
      </c>
      <c r="O41" s="380">
        <v>1021</v>
      </c>
      <c r="P41" s="277">
        <v>1000</v>
      </c>
      <c r="Q41" s="277">
        <f t="shared" si="5"/>
        <v>-21</v>
      </c>
    </row>
    <row r="42" spans="1:17" ht="26.25">
      <c r="A42" s="279" t="s">
        <v>374</v>
      </c>
      <c r="B42" s="280" t="s">
        <v>53</v>
      </c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77">
        <v>0</v>
      </c>
      <c r="I42" s="277">
        <v>0</v>
      </c>
      <c r="J42" s="277">
        <v>0</v>
      </c>
      <c r="K42" s="277">
        <v>0</v>
      </c>
      <c r="L42" s="277">
        <v>0</v>
      </c>
      <c r="M42" s="277">
        <v>0</v>
      </c>
      <c r="N42" s="277">
        <v>0</v>
      </c>
      <c r="O42" s="380">
        <v>500</v>
      </c>
      <c r="P42" s="277">
        <v>1200</v>
      </c>
      <c r="Q42" s="277">
        <f t="shared" si="5"/>
        <v>700</v>
      </c>
    </row>
    <row r="43" spans="1:17" ht="12.75">
      <c r="A43" s="279" t="s">
        <v>375</v>
      </c>
      <c r="B43" s="280" t="s">
        <v>55</v>
      </c>
      <c r="C43" s="277">
        <v>0</v>
      </c>
      <c r="D43" s="277">
        <v>0</v>
      </c>
      <c r="E43" s="277">
        <v>135</v>
      </c>
      <c r="F43" s="277">
        <v>0</v>
      </c>
      <c r="G43" s="277">
        <v>0</v>
      </c>
      <c r="H43" s="277">
        <v>0</v>
      </c>
      <c r="I43" s="277">
        <v>0</v>
      </c>
      <c r="J43" s="277">
        <v>0</v>
      </c>
      <c r="K43" s="277">
        <v>0</v>
      </c>
      <c r="L43" s="277">
        <v>0</v>
      </c>
      <c r="M43" s="277">
        <v>0</v>
      </c>
      <c r="N43" s="277">
        <v>0</v>
      </c>
      <c r="O43" s="380">
        <v>635</v>
      </c>
      <c r="P43" s="277">
        <v>1200</v>
      </c>
      <c r="Q43" s="277">
        <f t="shared" si="5"/>
        <v>565</v>
      </c>
    </row>
    <row r="44" spans="1:17" ht="26.25">
      <c r="A44" s="279" t="s">
        <v>376</v>
      </c>
      <c r="B44" s="280" t="s">
        <v>57</v>
      </c>
      <c r="C44" s="277">
        <v>12350</v>
      </c>
      <c r="D44" s="277">
        <v>1843</v>
      </c>
      <c r="E44" s="277">
        <v>2212</v>
      </c>
      <c r="F44" s="393">
        <v>-20244</v>
      </c>
      <c r="G44" s="277">
        <v>985</v>
      </c>
      <c r="H44" s="277">
        <v>0</v>
      </c>
      <c r="I44" s="277">
        <v>0</v>
      </c>
      <c r="J44" s="277">
        <v>0</v>
      </c>
      <c r="K44" s="277">
        <f>850+8775</f>
        <v>9625</v>
      </c>
      <c r="L44" s="277">
        <v>850</v>
      </c>
      <c r="M44" s="277">
        <v>850</v>
      </c>
      <c r="N44" s="277">
        <v>850</v>
      </c>
      <c r="O44" s="380">
        <v>1396</v>
      </c>
      <c r="P44" s="277">
        <v>10200</v>
      </c>
      <c r="Q44" s="277">
        <f t="shared" si="5"/>
        <v>8804</v>
      </c>
    </row>
    <row r="45" spans="1:17" ht="12.75">
      <c r="A45" s="279" t="s">
        <v>377</v>
      </c>
      <c r="B45" s="280" t="s">
        <v>59</v>
      </c>
      <c r="C45" s="277">
        <v>0</v>
      </c>
      <c r="D45" s="277">
        <v>485</v>
      </c>
      <c r="E45" s="277">
        <v>0</v>
      </c>
      <c r="F45" s="277">
        <v>2356</v>
      </c>
      <c r="G45" s="277">
        <v>1839</v>
      </c>
      <c r="H45" s="277">
        <v>0</v>
      </c>
      <c r="I45" s="277">
        <v>0</v>
      </c>
      <c r="J45" s="277">
        <v>0</v>
      </c>
      <c r="K45" s="277">
        <f>1000+3056</f>
        <v>4056</v>
      </c>
      <c r="L45" s="277">
        <v>1000</v>
      </c>
      <c r="M45" s="277">
        <v>1000</v>
      </c>
      <c r="N45" s="277">
        <v>1000</v>
      </c>
      <c r="O45" s="380">
        <v>9680</v>
      </c>
      <c r="P45" s="277">
        <v>12000</v>
      </c>
      <c r="Q45" s="277">
        <f t="shared" si="5"/>
        <v>2320</v>
      </c>
    </row>
    <row r="46" spans="1:17" ht="12.75">
      <c r="A46" s="279" t="s">
        <v>62</v>
      </c>
      <c r="B46" s="280" t="s">
        <v>63</v>
      </c>
      <c r="C46" s="277">
        <v>524</v>
      </c>
      <c r="D46" s="277">
        <v>167</v>
      </c>
      <c r="E46" s="277">
        <v>475</v>
      </c>
      <c r="F46" s="277">
        <v>0</v>
      </c>
      <c r="G46" s="277">
        <v>0</v>
      </c>
      <c r="H46" s="277">
        <v>1024</v>
      </c>
      <c r="I46" s="277">
        <v>0</v>
      </c>
      <c r="J46" s="277">
        <v>178</v>
      </c>
      <c r="K46" s="277">
        <v>250</v>
      </c>
      <c r="L46" s="277">
        <v>250</v>
      </c>
      <c r="M46" s="277">
        <v>250</v>
      </c>
      <c r="N46" s="277">
        <v>250</v>
      </c>
      <c r="O46" s="380">
        <v>3440</v>
      </c>
      <c r="P46" s="277">
        <v>3000</v>
      </c>
      <c r="Q46" s="277">
        <f t="shared" si="5"/>
        <v>-440</v>
      </c>
    </row>
    <row r="47" spans="1:17" ht="12.75">
      <c r="A47" s="279" t="s">
        <v>64</v>
      </c>
      <c r="B47" s="280" t="s">
        <v>65</v>
      </c>
      <c r="C47" s="277">
        <v>0</v>
      </c>
      <c r="D47" s="277">
        <v>0</v>
      </c>
      <c r="E47" s="277">
        <v>0</v>
      </c>
      <c r="F47" s="277">
        <v>0</v>
      </c>
      <c r="G47" s="277">
        <v>0</v>
      </c>
      <c r="H47" s="277">
        <v>0</v>
      </c>
      <c r="I47" s="277">
        <v>0</v>
      </c>
      <c r="J47" s="277">
        <v>0</v>
      </c>
      <c r="K47" s="277">
        <v>85</v>
      </c>
      <c r="L47" s="277">
        <v>85</v>
      </c>
      <c r="M47" s="277">
        <v>85</v>
      </c>
      <c r="N47" s="277">
        <v>85</v>
      </c>
      <c r="O47" s="380">
        <v>425</v>
      </c>
      <c r="P47" s="277">
        <v>1020</v>
      </c>
      <c r="Q47" s="277">
        <f t="shared" si="5"/>
        <v>595</v>
      </c>
    </row>
    <row r="48" spans="1:19" ht="26.25">
      <c r="A48" s="279" t="s">
        <v>66</v>
      </c>
      <c r="B48" s="280" t="s">
        <v>67</v>
      </c>
      <c r="C48" s="277">
        <v>0</v>
      </c>
      <c r="D48" s="277">
        <v>28947</v>
      </c>
      <c r="E48" s="277">
        <v>55686</v>
      </c>
      <c r="F48" s="277">
        <v>28211</v>
      </c>
      <c r="G48" s="277">
        <v>28211</v>
      </c>
      <c r="H48" s="277">
        <v>28211</v>
      </c>
      <c r="I48" s="277">
        <v>28211</v>
      </c>
      <c r="J48" s="277">
        <v>28211</v>
      </c>
      <c r="K48" s="277">
        <v>28211</v>
      </c>
      <c r="L48" s="277">
        <v>28211</v>
      </c>
      <c r="M48" s="277">
        <v>28211</v>
      </c>
      <c r="N48" s="277">
        <v>28211</v>
      </c>
      <c r="O48" s="380">
        <f>SUM(C48:N48)</f>
        <v>338532</v>
      </c>
      <c r="P48" s="277">
        <v>336000</v>
      </c>
      <c r="Q48" s="277">
        <f t="shared" si="5"/>
        <v>-2532</v>
      </c>
      <c r="S48">
        <v>29339</v>
      </c>
    </row>
    <row r="49" spans="1:19" ht="12.75">
      <c r="A49" s="279" t="s">
        <v>68</v>
      </c>
      <c r="B49" s="280" t="s">
        <v>69</v>
      </c>
      <c r="C49" s="278">
        <v>0</v>
      </c>
      <c r="D49" s="278">
        <v>202</v>
      </c>
      <c r="E49" s="278">
        <v>0</v>
      </c>
      <c r="F49" s="278">
        <v>0</v>
      </c>
      <c r="G49" s="278">
        <v>0</v>
      </c>
      <c r="H49" s="278">
        <v>0</v>
      </c>
      <c r="I49" s="278">
        <v>0</v>
      </c>
      <c r="J49" s="278">
        <v>0</v>
      </c>
      <c r="K49" s="278">
        <v>0</v>
      </c>
      <c r="L49" s="278">
        <v>0</v>
      </c>
      <c r="M49" s="278">
        <v>1000</v>
      </c>
      <c r="N49" s="278">
        <v>0</v>
      </c>
      <c r="O49" s="380">
        <f>SUM(C49:N49)</f>
        <v>1202</v>
      </c>
      <c r="P49" s="278">
        <v>4800</v>
      </c>
      <c r="Q49" s="277">
        <f t="shared" si="5"/>
        <v>3598</v>
      </c>
      <c r="S49">
        <v>28211</v>
      </c>
    </row>
    <row r="50" spans="1:19" ht="12.75">
      <c r="A50" s="279"/>
      <c r="B50" s="280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86"/>
      <c r="P50" s="372"/>
      <c r="Q50" s="387"/>
      <c r="S50">
        <f>S48-S49</f>
        <v>1128</v>
      </c>
    </row>
    <row r="51" spans="1:17" ht="12.75">
      <c r="A51" s="279" t="s">
        <v>70</v>
      </c>
      <c r="B51" s="280"/>
      <c r="C51" s="278">
        <f aca="true" t="shared" si="6" ref="C51:N51">SUM(C38:C49)</f>
        <v>21472</v>
      </c>
      <c r="D51" s="278">
        <f t="shared" si="6"/>
        <v>42200</v>
      </c>
      <c r="E51" s="278">
        <f t="shared" si="6"/>
        <v>66008</v>
      </c>
      <c r="F51" s="278">
        <f t="shared" si="6"/>
        <v>18679</v>
      </c>
      <c r="G51" s="278">
        <f t="shared" si="6"/>
        <v>39237</v>
      </c>
      <c r="H51" s="278">
        <f t="shared" si="6"/>
        <v>36735</v>
      </c>
      <c r="I51" s="278">
        <f t="shared" si="6"/>
        <v>37096</v>
      </c>
      <c r="J51" s="278">
        <f t="shared" si="6"/>
        <v>36591</v>
      </c>
      <c r="K51" s="278">
        <f t="shared" si="6"/>
        <v>47238</v>
      </c>
      <c r="L51" s="278">
        <f t="shared" si="6"/>
        <v>38463</v>
      </c>
      <c r="M51" s="278">
        <f t="shared" si="6"/>
        <v>39463</v>
      </c>
      <c r="N51" s="278">
        <f t="shared" si="6"/>
        <v>38459</v>
      </c>
      <c r="O51" s="381">
        <f>SUM(O38:O49)</f>
        <v>456273</v>
      </c>
      <c r="P51" s="278">
        <f>SUM(P38:P49)</f>
        <v>467220</v>
      </c>
      <c r="Q51" s="278">
        <f>SUM(Q38:Q50)</f>
        <v>10947</v>
      </c>
    </row>
    <row r="52" spans="1:19" ht="12.75">
      <c r="A52" s="279"/>
      <c r="B52" s="280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82"/>
      <c r="P52" s="372"/>
      <c r="Q52" s="372"/>
      <c r="S52">
        <f>S50/S49</f>
        <v>0.039984403246960405</v>
      </c>
    </row>
    <row r="53" spans="1:17" ht="12.75">
      <c r="A53" s="279" t="s">
        <v>71</v>
      </c>
      <c r="B53" s="280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82"/>
      <c r="P53" s="372"/>
      <c r="Q53" s="372"/>
    </row>
    <row r="54" spans="1:17" ht="12.75">
      <c r="A54" s="279" t="s">
        <v>72</v>
      </c>
      <c r="B54" s="280" t="s">
        <v>73</v>
      </c>
      <c r="C54" s="277">
        <v>5691</v>
      </c>
      <c r="D54" s="277">
        <v>5949</v>
      </c>
      <c r="E54" s="277">
        <v>5957</v>
      </c>
      <c r="F54" s="277">
        <v>5957</v>
      </c>
      <c r="G54" s="277">
        <v>5958</v>
      </c>
      <c r="H54" s="277">
        <v>5958</v>
      </c>
      <c r="I54" s="393">
        <v>11820</v>
      </c>
      <c r="J54" s="277">
        <v>6585</v>
      </c>
      <c r="K54" s="277">
        <v>6600</v>
      </c>
      <c r="L54" s="277">
        <v>6600</v>
      </c>
      <c r="M54" s="277">
        <v>6600</v>
      </c>
      <c r="N54" s="277">
        <v>6600</v>
      </c>
      <c r="O54" s="380">
        <f>SUM(C54:N54)</f>
        <v>80275</v>
      </c>
      <c r="P54" s="277">
        <v>62400</v>
      </c>
      <c r="Q54" s="277">
        <f>P54-O54</f>
        <v>-17875</v>
      </c>
    </row>
    <row r="55" spans="1:17" ht="12.75">
      <c r="A55" s="279" t="s">
        <v>74</v>
      </c>
      <c r="B55" s="280" t="s">
        <v>75</v>
      </c>
      <c r="C55" s="277">
        <v>9937</v>
      </c>
      <c r="D55" s="277">
        <v>8949</v>
      </c>
      <c r="E55" s="277">
        <v>8799</v>
      </c>
      <c r="F55" s="277">
        <v>8549</v>
      </c>
      <c r="G55" s="277">
        <v>8296</v>
      </c>
      <c r="H55" s="277">
        <v>9808</v>
      </c>
      <c r="I55" s="277">
        <v>11519</v>
      </c>
      <c r="J55" s="277">
        <v>11747</v>
      </c>
      <c r="K55" s="277">
        <v>11900</v>
      </c>
      <c r="L55" s="277">
        <v>11800</v>
      </c>
      <c r="M55" s="277">
        <v>12000</v>
      </c>
      <c r="N55" s="277">
        <v>12500</v>
      </c>
      <c r="O55" s="380">
        <f>SUM(C55:N55)</f>
        <v>125804</v>
      </c>
      <c r="P55" s="277">
        <v>127901</v>
      </c>
      <c r="Q55" s="277">
        <f>P55-O55</f>
        <v>2097</v>
      </c>
    </row>
    <row r="56" spans="1:17" ht="12.75">
      <c r="A56" s="279" t="s">
        <v>76</v>
      </c>
      <c r="B56" s="280" t="s">
        <v>77</v>
      </c>
      <c r="C56" s="277">
        <v>5537</v>
      </c>
      <c r="D56" s="277">
        <v>5537</v>
      </c>
      <c r="E56" s="277">
        <v>5328</v>
      </c>
      <c r="F56" s="277">
        <v>4469</v>
      </c>
      <c r="G56" s="277">
        <v>4502</v>
      </c>
      <c r="H56" s="277">
        <v>4502</v>
      </c>
      <c r="I56" s="277">
        <v>5158</v>
      </c>
      <c r="J56" s="277">
        <v>6671</v>
      </c>
      <c r="K56" s="277">
        <v>4800</v>
      </c>
      <c r="L56" s="277">
        <v>4800</v>
      </c>
      <c r="M56" s="277">
        <v>4800</v>
      </c>
      <c r="N56" s="277">
        <v>4800</v>
      </c>
      <c r="O56" s="380">
        <f>SUM(C56:N56)</f>
        <v>60904</v>
      </c>
      <c r="P56" s="277">
        <v>57600</v>
      </c>
      <c r="Q56" s="277">
        <f>P56-O56</f>
        <v>-3304</v>
      </c>
    </row>
    <row r="57" spans="1:17" ht="12.75">
      <c r="A57" s="279" t="s">
        <v>78</v>
      </c>
      <c r="B57" s="280" t="s">
        <v>79</v>
      </c>
      <c r="C57" s="277">
        <v>35220</v>
      </c>
      <c r="D57" s="277">
        <v>46671</v>
      </c>
      <c r="E57" s="277">
        <v>27570</v>
      </c>
      <c r="F57" s="277">
        <v>15221</v>
      </c>
      <c r="G57" s="277">
        <v>8080</v>
      </c>
      <c r="H57" s="277">
        <v>4508</v>
      </c>
      <c r="I57" s="277">
        <v>13552</v>
      </c>
      <c r="J57" s="277">
        <v>1188</v>
      </c>
      <c r="K57" s="277">
        <v>1384</v>
      </c>
      <c r="L57" s="277">
        <v>3943</v>
      </c>
      <c r="M57" s="277">
        <v>12062</v>
      </c>
      <c r="N57" s="277">
        <v>22160</v>
      </c>
      <c r="O57" s="380">
        <f>SUM(C57:N57)</f>
        <v>191559</v>
      </c>
      <c r="P57" s="277">
        <v>137836</v>
      </c>
      <c r="Q57" s="277">
        <f>P57-O57</f>
        <v>-53723</v>
      </c>
    </row>
    <row r="58" spans="1:17" ht="12.75">
      <c r="A58" s="279" t="s">
        <v>80</v>
      </c>
      <c r="B58" s="280" t="s">
        <v>81</v>
      </c>
      <c r="C58" s="278">
        <v>7006</v>
      </c>
      <c r="D58" s="278">
        <v>5930</v>
      </c>
      <c r="E58" s="278">
        <v>5645</v>
      </c>
      <c r="F58" s="278">
        <v>7181</v>
      </c>
      <c r="G58" s="278">
        <v>10412</v>
      </c>
      <c r="H58" s="278">
        <v>13011</v>
      </c>
      <c r="I58" s="278">
        <v>17450</v>
      </c>
      <c r="J58" s="278">
        <v>15834</v>
      </c>
      <c r="K58" s="396">
        <v>12100</v>
      </c>
      <c r="L58" s="278">
        <v>9737</v>
      </c>
      <c r="M58" s="278">
        <v>14979</v>
      </c>
      <c r="N58" s="278">
        <v>8185</v>
      </c>
      <c r="O58" s="380">
        <f>SUM(C58:N58)</f>
        <v>127470</v>
      </c>
      <c r="P58" s="278">
        <v>131646</v>
      </c>
      <c r="Q58" s="277">
        <f>P58-O58</f>
        <v>4176</v>
      </c>
    </row>
    <row r="59" spans="1:17" ht="12.75">
      <c r="A59" s="279"/>
      <c r="B59" s="280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86"/>
      <c r="P59" s="372"/>
      <c r="Q59" s="387"/>
    </row>
    <row r="60" spans="1:17" ht="12.75">
      <c r="A60" s="279" t="s">
        <v>82</v>
      </c>
      <c r="B60" s="280"/>
      <c r="C60" s="278">
        <f aca="true" t="shared" si="7" ref="C60:N60">SUM(C54:C58)</f>
        <v>63391</v>
      </c>
      <c r="D60" s="278">
        <f t="shared" si="7"/>
        <v>73036</v>
      </c>
      <c r="E60" s="278">
        <f t="shared" si="7"/>
        <v>53299</v>
      </c>
      <c r="F60" s="278">
        <f t="shared" si="7"/>
        <v>41377</v>
      </c>
      <c r="G60" s="278">
        <f t="shared" si="7"/>
        <v>37248</v>
      </c>
      <c r="H60" s="278">
        <f t="shared" si="7"/>
        <v>37787</v>
      </c>
      <c r="I60" s="278">
        <f t="shared" si="7"/>
        <v>59499</v>
      </c>
      <c r="J60" s="278">
        <f t="shared" si="7"/>
        <v>42025</v>
      </c>
      <c r="K60" s="278">
        <f t="shared" si="7"/>
        <v>36784</v>
      </c>
      <c r="L60" s="278">
        <f t="shared" si="7"/>
        <v>36880</v>
      </c>
      <c r="M60" s="278">
        <f t="shared" si="7"/>
        <v>50441</v>
      </c>
      <c r="N60" s="278">
        <f t="shared" si="7"/>
        <v>54245</v>
      </c>
      <c r="O60" s="381">
        <f>SUM(O54:O58)</f>
        <v>586012</v>
      </c>
      <c r="P60" s="278">
        <f>SUM(P54:P58)</f>
        <v>517383</v>
      </c>
      <c r="Q60" s="278">
        <f>SUM(Q54:Q59)</f>
        <v>-68629</v>
      </c>
    </row>
    <row r="61" spans="1:17" ht="12.75">
      <c r="A61" s="279"/>
      <c r="B61" s="280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82"/>
      <c r="P61" s="372"/>
      <c r="Q61" s="372"/>
    </row>
    <row r="62" spans="1:17" ht="12.75">
      <c r="A62" s="369" t="s">
        <v>83</v>
      </c>
      <c r="B62" s="370"/>
      <c r="C62" s="373">
        <f aca="true" t="shared" si="8" ref="C62:O62">C19+C35+C51+C60</f>
        <v>133574</v>
      </c>
      <c r="D62" s="373">
        <f t="shared" si="8"/>
        <v>136288</v>
      </c>
      <c r="E62" s="373">
        <f t="shared" si="8"/>
        <v>112075</v>
      </c>
      <c r="F62" s="373">
        <f t="shared" si="8"/>
        <v>81064</v>
      </c>
      <c r="G62" s="373">
        <f t="shared" si="8"/>
        <v>96088</v>
      </c>
      <c r="H62" s="373">
        <f t="shared" si="8"/>
        <v>94879</v>
      </c>
      <c r="I62" s="373">
        <f t="shared" si="8"/>
        <v>116652</v>
      </c>
      <c r="J62" s="373">
        <f t="shared" si="8"/>
        <v>99782</v>
      </c>
      <c r="K62" s="373">
        <f t="shared" si="8"/>
        <v>111991</v>
      </c>
      <c r="L62" s="373">
        <f t="shared" si="8"/>
        <v>96112</v>
      </c>
      <c r="M62" s="373">
        <f t="shared" si="8"/>
        <v>111373</v>
      </c>
      <c r="N62" s="373">
        <f t="shared" si="8"/>
        <v>113473</v>
      </c>
      <c r="O62" s="383">
        <f t="shared" si="8"/>
        <v>1297983</v>
      </c>
      <c r="P62" s="373">
        <v>1288787</v>
      </c>
      <c r="Q62" s="373">
        <f>Q19+Q35+Q51+Q60</f>
        <v>-8961</v>
      </c>
    </row>
    <row r="63" spans="1:17" ht="12.75">
      <c r="A63" s="279"/>
      <c r="B63" s="280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82"/>
      <c r="P63" s="372"/>
      <c r="Q63" s="372"/>
    </row>
    <row r="64" spans="1:17" ht="24">
      <c r="A64" s="369" t="s">
        <v>84</v>
      </c>
      <c r="B64" s="370"/>
      <c r="C64" s="373">
        <f aca="true" t="shared" si="9" ref="C64:O64">C12-C62</f>
        <v>-24380</v>
      </c>
      <c r="D64" s="373">
        <f t="shared" si="9"/>
        <v>-27114</v>
      </c>
      <c r="E64" s="373">
        <f t="shared" si="9"/>
        <v>-2981</v>
      </c>
      <c r="F64" s="373">
        <f t="shared" si="9"/>
        <v>28051</v>
      </c>
      <c r="G64" s="373">
        <f t="shared" si="9"/>
        <v>13007</v>
      </c>
      <c r="H64" s="373">
        <f t="shared" si="9"/>
        <v>14198</v>
      </c>
      <c r="I64" s="373">
        <f t="shared" si="9"/>
        <v>-7559</v>
      </c>
      <c r="J64" s="373">
        <f t="shared" si="9"/>
        <v>9279</v>
      </c>
      <c r="K64" s="373">
        <f t="shared" si="9"/>
        <v>-2925</v>
      </c>
      <c r="L64" s="373">
        <f t="shared" si="9"/>
        <v>12954</v>
      </c>
      <c r="M64" s="373">
        <f t="shared" si="9"/>
        <v>-2307</v>
      </c>
      <c r="N64" s="373">
        <f t="shared" si="9"/>
        <v>-4412</v>
      </c>
      <c r="O64" s="383">
        <f t="shared" si="9"/>
        <v>11179</v>
      </c>
      <c r="P64" s="373">
        <v>20000</v>
      </c>
      <c r="Q64" s="373">
        <f>Q62+Q12</f>
        <v>-8586</v>
      </c>
    </row>
    <row r="65" spans="1:17" ht="12.75">
      <c r="A65" s="279"/>
      <c r="B65" s="280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82"/>
      <c r="P65" s="372"/>
      <c r="Q65" s="372"/>
    </row>
    <row r="66" spans="1:17" ht="12.75">
      <c r="A66" s="369" t="s">
        <v>85</v>
      </c>
      <c r="B66" s="370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9"/>
      <c r="P66" s="371"/>
      <c r="Q66" s="371"/>
    </row>
    <row r="67" spans="1:17" ht="26.25">
      <c r="A67" s="279" t="s">
        <v>86</v>
      </c>
      <c r="B67" s="280" t="s">
        <v>87</v>
      </c>
      <c r="C67" s="277">
        <v>22000</v>
      </c>
      <c r="D67" s="277">
        <v>22000</v>
      </c>
      <c r="E67" s="277">
        <v>22000</v>
      </c>
      <c r="F67" s="277">
        <v>22000</v>
      </c>
      <c r="G67" s="277">
        <v>22000</v>
      </c>
      <c r="H67" s="277">
        <v>22000</v>
      </c>
      <c r="I67" s="277">
        <v>22000</v>
      </c>
      <c r="J67" s="277">
        <v>22000</v>
      </c>
      <c r="K67" s="277">
        <v>22000</v>
      </c>
      <c r="L67" s="277">
        <v>22000</v>
      </c>
      <c r="M67" s="277">
        <v>22000</v>
      </c>
      <c r="N67" s="277">
        <v>22000</v>
      </c>
      <c r="O67" s="380">
        <f>SUM(C67:N67)</f>
        <v>264000</v>
      </c>
      <c r="P67" s="277">
        <v>264000</v>
      </c>
      <c r="Q67" s="277">
        <f>O67-P67</f>
        <v>0</v>
      </c>
    </row>
    <row r="68" spans="1:17" ht="12.75">
      <c r="A68" s="279" t="s">
        <v>88</v>
      </c>
      <c r="B68" s="280" t="s">
        <v>89</v>
      </c>
      <c r="C68" s="278">
        <v>4712</v>
      </c>
      <c r="D68" s="278">
        <v>15684</v>
      </c>
      <c r="E68" s="278">
        <v>9743</v>
      </c>
      <c r="F68" s="278">
        <v>37005</v>
      </c>
      <c r="G68" s="278">
        <v>8330</v>
      </c>
      <c r="H68" s="278">
        <v>19612</v>
      </c>
      <c r="I68" s="278">
        <v>7322</v>
      </c>
      <c r="J68" s="278">
        <f>SUM(J74:J90)</f>
        <v>17775</v>
      </c>
      <c r="K68" s="278">
        <f>SUM(K74:K90)</f>
        <v>9056</v>
      </c>
      <c r="L68" s="278">
        <f>SUM(L74:L90)</f>
        <v>31125</v>
      </c>
      <c r="M68" s="278">
        <f>SUM(M74:M90)</f>
        <v>7000</v>
      </c>
      <c r="N68" s="278">
        <f>SUM(N74:N90)</f>
        <v>0</v>
      </c>
      <c r="O68" s="380">
        <f>SUM(C68:N68)</f>
        <v>167364</v>
      </c>
      <c r="P68" s="278">
        <v>302100</v>
      </c>
      <c r="Q68" s="278">
        <f>O68-P68</f>
        <v>-134736</v>
      </c>
    </row>
    <row r="69" spans="1:17" ht="12.75">
      <c r="A69" s="279"/>
      <c r="B69" s="280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86"/>
      <c r="P69" s="372"/>
      <c r="Q69" s="372"/>
    </row>
    <row r="70" spans="1:17" ht="12.75">
      <c r="A70" s="279" t="s">
        <v>90</v>
      </c>
      <c r="B70" s="280"/>
      <c r="C70" s="278">
        <f aca="true" t="shared" si="10" ref="C70:N70">SUM(C67:C68)</f>
        <v>26712</v>
      </c>
      <c r="D70" s="278">
        <f t="shared" si="10"/>
        <v>37684</v>
      </c>
      <c r="E70" s="278">
        <f t="shared" si="10"/>
        <v>31743</v>
      </c>
      <c r="F70" s="278">
        <f t="shared" si="10"/>
        <v>59005</v>
      </c>
      <c r="G70" s="278">
        <f t="shared" si="10"/>
        <v>30330</v>
      </c>
      <c r="H70" s="278">
        <f t="shared" si="10"/>
        <v>41612</v>
      </c>
      <c r="I70" s="278">
        <f t="shared" si="10"/>
        <v>29322</v>
      </c>
      <c r="J70" s="278">
        <f t="shared" si="10"/>
        <v>39775</v>
      </c>
      <c r="K70" s="278">
        <f t="shared" si="10"/>
        <v>31056</v>
      </c>
      <c r="L70" s="278">
        <f t="shared" si="10"/>
        <v>53125</v>
      </c>
      <c r="M70" s="278">
        <f t="shared" si="10"/>
        <v>29000</v>
      </c>
      <c r="N70" s="278">
        <f t="shared" si="10"/>
        <v>22000</v>
      </c>
      <c r="O70" s="381">
        <f>SUM(O67:O68)</f>
        <v>431364</v>
      </c>
      <c r="P70" s="278">
        <f>SUM(P67:P68)</f>
        <v>566100</v>
      </c>
      <c r="Q70" s="278">
        <f>SUM(Q67:Q69)</f>
        <v>-134736</v>
      </c>
    </row>
    <row r="71" spans="1:17" ht="12.75">
      <c r="A71" s="279"/>
      <c r="B71" s="280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82"/>
      <c r="P71" s="372"/>
      <c r="Q71" s="372"/>
    </row>
    <row r="72" spans="1:17" ht="12.75">
      <c r="A72" s="369" t="s">
        <v>91</v>
      </c>
      <c r="B72" s="370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9"/>
      <c r="P72" s="371"/>
      <c r="Q72" s="371"/>
    </row>
    <row r="73" spans="1:17" ht="12.75">
      <c r="A73" s="279" t="s">
        <v>92</v>
      </c>
      <c r="B73" s="280" t="s">
        <v>93</v>
      </c>
      <c r="C73" s="277">
        <v>22000</v>
      </c>
      <c r="D73" s="277">
        <v>22000</v>
      </c>
      <c r="E73" s="277">
        <v>22000</v>
      </c>
      <c r="F73" s="277">
        <v>22000</v>
      </c>
      <c r="G73" s="277">
        <v>22000</v>
      </c>
      <c r="H73" s="277">
        <v>22000</v>
      </c>
      <c r="I73" s="277">
        <v>22000</v>
      </c>
      <c r="J73" s="277">
        <v>22000</v>
      </c>
      <c r="K73" s="277">
        <v>22000</v>
      </c>
      <c r="L73" s="277">
        <v>22000</v>
      </c>
      <c r="M73" s="277">
        <v>22000</v>
      </c>
      <c r="N73" s="277">
        <v>22000</v>
      </c>
      <c r="O73" s="380">
        <f>SUM(C73:N73)</f>
        <v>264000</v>
      </c>
      <c r="P73" s="277">
        <v>264000</v>
      </c>
      <c r="Q73" s="277">
        <f>P73-O73</f>
        <v>0</v>
      </c>
    </row>
    <row r="74" spans="1:17" ht="12.75">
      <c r="A74" s="279" t="s">
        <v>534</v>
      </c>
      <c r="B74" s="280" t="s">
        <v>256</v>
      </c>
      <c r="C74" s="277">
        <v>0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>
        <v>543</v>
      </c>
      <c r="J74" s="277">
        <v>0</v>
      </c>
      <c r="K74" s="277">
        <v>0</v>
      </c>
      <c r="L74" s="277">
        <v>0</v>
      </c>
      <c r="M74" s="277">
        <v>0</v>
      </c>
      <c r="N74" s="277">
        <v>0</v>
      </c>
      <c r="O74" s="380">
        <f aca="true" t="shared" si="11" ref="O74:O90">SUM(C74:N74)</f>
        <v>543</v>
      </c>
      <c r="P74" s="277">
        <v>0</v>
      </c>
      <c r="Q74" s="277">
        <f aca="true" t="shared" si="12" ref="Q74:Q90">P74-O74</f>
        <v>-543</v>
      </c>
    </row>
    <row r="75" spans="1:17" ht="12.75">
      <c r="A75" s="279" t="s">
        <v>535</v>
      </c>
      <c r="B75" s="280" t="s">
        <v>473</v>
      </c>
      <c r="C75" s="277">
        <v>0</v>
      </c>
      <c r="D75" s="277">
        <v>0</v>
      </c>
      <c r="E75" s="277">
        <v>1475</v>
      </c>
      <c r="F75" s="277">
        <v>0</v>
      </c>
      <c r="G75" s="277">
        <v>0</v>
      </c>
      <c r="H75" s="277">
        <v>-50</v>
      </c>
      <c r="I75" s="277">
        <v>1225</v>
      </c>
      <c r="J75" s="277">
        <v>0</v>
      </c>
      <c r="K75" s="277">
        <v>0</v>
      </c>
      <c r="L75" s="277">
        <v>0</v>
      </c>
      <c r="M75" s="277">
        <v>0</v>
      </c>
      <c r="N75" s="277">
        <v>0</v>
      </c>
      <c r="O75" s="380">
        <f t="shared" si="11"/>
        <v>2650</v>
      </c>
      <c r="P75" s="277">
        <v>0</v>
      </c>
      <c r="Q75" s="277">
        <f t="shared" si="12"/>
        <v>-2650</v>
      </c>
    </row>
    <row r="76" spans="1:17" ht="12.75">
      <c r="A76" s="279" t="s">
        <v>536</v>
      </c>
      <c r="B76" s="280" t="s">
        <v>477</v>
      </c>
      <c r="C76" s="277">
        <v>0</v>
      </c>
      <c r="D76" s="277">
        <v>0</v>
      </c>
      <c r="E76" s="277">
        <v>0</v>
      </c>
      <c r="F76" s="277">
        <v>0</v>
      </c>
      <c r="G76" s="277">
        <v>2100</v>
      </c>
      <c r="H76" s="277">
        <v>6464</v>
      </c>
      <c r="I76" s="277">
        <v>5334</v>
      </c>
      <c r="J76" s="277">
        <v>3292</v>
      </c>
      <c r="K76" s="277">
        <v>0</v>
      </c>
      <c r="L76" s="277">
        <f>24900+2400+2400</f>
        <v>29700</v>
      </c>
      <c r="M76" s="277">
        <v>0</v>
      </c>
      <c r="N76" s="277">
        <v>0</v>
      </c>
      <c r="O76" s="380">
        <f t="shared" si="11"/>
        <v>46890</v>
      </c>
      <c r="P76" s="277">
        <v>90600</v>
      </c>
      <c r="Q76" s="277">
        <f t="shared" si="12"/>
        <v>43710</v>
      </c>
    </row>
    <row r="77" spans="1:17" ht="26.25">
      <c r="A77" s="279" t="s">
        <v>537</v>
      </c>
      <c r="B77" s="280" t="s">
        <v>96</v>
      </c>
      <c r="C77" s="277">
        <v>0</v>
      </c>
      <c r="D77" s="277">
        <v>4000</v>
      </c>
      <c r="E77" s="277">
        <v>6600</v>
      </c>
      <c r="F77" s="277">
        <v>4200</v>
      </c>
      <c r="G77" s="277">
        <v>0</v>
      </c>
      <c r="H77" s="277">
        <v>0</v>
      </c>
      <c r="I77" s="277">
        <v>0</v>
      </c>
      <c r="J77" s="277">
        <v>0</v>
      </c>
      <c r="K77" s="277">
        <v>0</v>
      </c>
      <c r="L77" s="277">
        <v>0</v>
      </c>
      <c r="M77" s="277">
        <v>0</v>
      </c>
      <c r="N77" s="277">
        <v>0</v>
      </c>
      <c r="O77" s="380">
        <f t="shared" si="11"/>
        <v>14800</v>
      </c>
      <c r="P77" s="277">
        <v>0</v>
      </c>
      <c r="Q77" s="277">
        <f t="shared" si="12"/>
        <v>-14800</v>
      </c>
    </row>
    <row r="78" spans="1:17" ht="12.75">
      <c r="A78" s="279" t="s">
        <v>538</v>
      </c>
      <c r="B78" s="280" t="s">
        <v>97</v>
      </c>
      <c r="C78" s="277">
        <v>0</v>
      </c>
      <c r="D78" s="277">
        <v>0</v>
      </c>
      <c r="E78" s="277">
        <v>0</v>
      </c>
      <c r="F78" s="277">
        <v>3172</v>
      </c>
      <c r="G78" s="277">
        <v>0</v>
      </c>
      <c r="H78" s="277">
        <v>9080</v>
      </c>
      <c r="I78" s="277">
        <v>0</v>
      </c>
      <c r="J78" s="277">
        <v>8384</v>
      </c>
      <c r="K78" s="277">
        <v>0</v>
      </c>
      <c r="L78" s="277">
        <v>0</v>
      </c>
      <c r="M78" s="277">
        <v>0</v>
      </c>
      <c r="N78" s="277">
        <v>0</v>
      </c>
      <c r="O78" s="380">
        <f t="shared" si="11"/>
        <v>20636</v>
      </c>
      <c r="P78" s="277">
        <v>18000</v>
      </c>
      <c r="Q78" s="277">
        <f t="shared" si="12"/>
        <v>-2636</v>
      </c>
    </row>
    <row r="79" spans="1:17" ht="12.75">
      <c r="A79" s="279" t="s">
        <v>539</v>
      </c>
      <c r="B79" s="280" t="s">
        <v>258</v>
      </c>
      <c r="C79" s="277">
        <v>0</v>
      </c>
      <c r="D79" s="277">
        <v>0</v>
      </c>
      <c r="E79" s="277">
        <v>0</v>
      </c>
      <c r="F79" s="277">
        <v>260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  <c r="L79" s="277">
        <v>0</v>
      </c>
      <c r="M79" s="277">
        <v>0</v>
      </c>
      <c r="N79" s="277">
        <v>0</v>
      </c>
      <c r="O79" s="380">
        <f t="shared" si="11"/>
        <v>260</v>
      </c>
      <c r="P79" s="277">
        <v>0</v>
      </c>
      <c r="Q79" s="277">
        <f t="shared" si="12"/>
        <v>-260</v>
      </c>
    </row>
    <row r="80" spans="1:17" ht="12.75">
      <c r="A80" s="279" t="s">
        <v>540</v>
      </c>
      <c r="B80" s="280" t="s">
        <v>474</v>
      </c>
      <c r="C80" s="277">
        <v>0</v>
      </c>
      <c r="D80" s="277">
        <v>0</v>
      </c>
      <c r="E80" s="277">
        <v>0</v>
      </c>
      <c r="F80" s="277">
        <v>6812</v>
      </c>
      <c r="G80" s="277">
        <v>2700</v>
      </c>
      <c r="H80" s="277">
        <v>0</v>
      </c>
      <c r="I80" s="277">
        <v>0</v>
      </c>
      <c r="J80" s="277">
        <v>0</v>
      </c>
      <c r="K80" s="277">
        <v>0</v>
      </c>
      <c r="L80" s="277">
        <v>0</v>
      </c>
      <c r="M80" s="277">
        <v>7000</v>
      </c>
      <c r="N80" s="277">
        <v>0</v>
      </c>
      <c r="O80" s="380">
        <f t="shared" si="11"/>
        <v>16512</v>
      </c>
      <c r="P80" s="277">
        <v>49000</v>
      </c>
      <c r="Q80" s="277">
        <f t="shared" si="12"/>
        <v>32488</v>
      </c>
    </row>
    <row r="81" spans="1:17" ht="12.75">
      <c r="A81" s="279" t="s">
        <v>541</v>
      </c>
      <c r="B81" s="280" t="s">
        <v>303</v>
      </c>
      <c r="C81" s="277">
        <v>0</v>
      </c>
      <c r="D81" s="277">
        <v>0</v>
      </c>
      <c r="E81" s="277">
        <v>0</v>
      </c>
      <c r="F81" s="277">
        <v>0</v>
      </c>
      <c r="G81" s="277">
        <v>0</v>
      </c>
      <c r="H81" s="277">
        <v>232</v>
      </c>
      <c r="I81" s="277">
        <v>0</v>
      </c>
      <c r="J81" s="277">
        <v>0</v>
      </c>
      <c r="K81" s="277">
        <v>281</v>
      </c>
      <c r="L81" s="277">
        <v>0</v>
      </c>
      <c r="M81" s="277">
        <v>0</v>
      </c>
      <c r="N81" s="277">
        <v>0</v>
      </c>
      <c r="O81" s="380">
        <f t="shared" si="11"/>
        <v>513</v>
      </c>
      <c r="P81" s="277">
        <v>0</v>
      </c>
      <c r="Q81" s="277">
        <f t="shared" si="12"/>
        <v>-513</v>
      </c>
    </row>
    <row r="82" spans="1:17" ht="14.25" customHeight="1">
      <c r="A82" s="390" t="s">
        <v>337</v>
      </c>
      <c r="B82" s="272" t="s">
        <v>563</v>
      </c>
      <c r="C82" s="277"/>
      <c r="D82" s="277"/>
      <c r="E82" s="277"/>
      <c r="F82" s="277"/>
      <c r="G82" s="277"/>
      <c r="H82" s="277"/>
      <c r="I82" s="277"/>
      <c r="J82" s="277">
        <v>450</v>
      </c>
      <c r="K82" s="277"/>
      <c r="L82" s="277"/>
      <c r="M82" s="277"/>
      <c r="N82" s="277"/>
      <c r="O82" s="380">
        <f t="shared" si="11"/>
        <v>450</v>
      </c>
      <c r="P82" s="277">
        <v>1</v>
      </c>
      <c r="Q82" s="277">
        <f>P82-O82</f>
        <v>-449</v>
      </c>
    </row>
    <row r="83" spans="1:17" ht="12.75">
      <c r="A83" s="279" t="s">
        <v>542</v>
      </c>
      <c r="B83" s="280" t="s">
        <v>515</v>
      </c>
      <c r="C83" s="277">
        <v>0</v>
      </c>
      <c r="D83" s="277">
        <v>0</v>
      </c>
      <c r="E83" s="277">
        <v>0</v>
      </c>
      <c r="F83" s="277">
        <v>1015</v>
      </c>
      <c r="G83" s="277">
        <v>1420</v>
      </c>
      <c r="H83" s="277">
        <v>1560</v>
      </c>
      <c r="I83" s="277">
        <v>220</v>
      </c>
      <c r="J83" s="277">
        <v>3674</v>
      </c>
      <c r="K83" s="277">
        <v>0</v>
      </c>
      <c r="L83" s="277">
        <v>1425</v>
      </c>
      <c r="M83" s="277">
        <v>0</v>
      </c>
      <c r="N83" s="277">
        <v>0</v>
      </c>
      <c r="O83" s="380">
        <f t="shared" si="11"/>
        <v>9314</v>
      </c>
      <c r="P83" s="277">
        <v>39500</v>
      </c>
      <c r="Q83" s="277">
        <f t="shared" si="12"/>
        <v>30186</v>
      </c>
    </row>
    <row r="84" spans="1:17" ht="12.75">
      <c r="A84" s="279" t="s">
        <v>543</v>
      </c>
      <c r="B84" s="280" t="s">
        <v>262</v>
      </c>
      <c r="C84" s="277">
        <v>1066</v>
      </c>
      <c r="D84" s="277">
        <v>1341</v>
      </c>
      <c r="E84" s="277">
        <v>0</v>
      </c>
      <c r="F84" s="277">
        <v>0</v>
      </c>
      <c r="G84" s="277">
        <v>0</v>
      </c>
      <c r="H84" s="277">
        <v>0</v>
      </c>
      <c r="I84" s="277">
        <v>0</v>
      </c>
      <c r="J84" s="277">
        <v>0</v>
      </c>
      <c r="K84" s="277">
        <v>0</v>
      </c>
      <c r="L84" s="277">
        <v>0</v>
      </c>
      <c r="M84" s="277">
        <v>0</v>
      </c>
      <c r="N84" s="277">
        <v>0</v>
      </c>
      <c r="O84" s="380">
        <f t="shared" si="11"/>
        <v>2407</v>
      </c>
      <c r="P84" s="277">
        <v>0</v>
      </c>
      <c r="Q84" s="277">
        <f t="shared" si="12"/>
        <v>-2407</v>
      </c>
    </row>
    <row r="85" spans="1:17" ht="12.75">
      <c r="A85" s="279" t="s">
        <v>544</v>
      </c>
      <c r="B85" s="280" t="s">
        <v>253</v>
      </c>
      <c r="C85" s="277">
        <v>0</v>
      </c>
      <c r="D85" s="277">
        <v>0</v>
      </c>
      <c r="E85" s="277">
        <v>0</v>
      </c>
      <c r="F85" s="277">
        <v>150</v>
      </c>
      <c r="G85" s="277">
        <v>2110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77">
        <v>0</v>
      </c>
      <c r="N85" s="277">
        <v>0</v>
      </c>
      <c r="O85" s="380">
        <f t="shared" si="11"/>
        <v>2260</v>
      </c>
      <c r="P85" s="277">
        <v>0</v>
      </c>
      <c r="Q85" s="277">
        <f t="shared" si="12"/>
        <v>-2260</v>
      </c>
    </row>
    <row r="86" spans="1:17" ht="12.75">
      <c r="A86" s="279" t="s">
        <v>545</v>
      </c>
      <c r="B86" s="280" t="s">
        <v>254</v>
      </c>
      <c r="C86" s="277">
        <v>3647</v>
      </c>
      <c r="D86" s="277">
        <v>6594</v>
      </c>
      <c r="E86" s="277">
        <v>0</v>
      </c>
      <c r="F86" s="277">
        <v>0</v>
      </c>
      <c r="G86" s="277">
        <v>0</v>
      </c>
      <c r="H86" s="277">
        <v>0</v>
      </c>
      <c r="I86" s="277">
        <v>0</v>
      </c>
      <c r="J86" s="277">
        <v>0</v>
      </c>
      <c r="K86" s="277">
        <v>0</v>
      </c>
      <c r="L86" s="277">
        <v>0</v>
      </c>
      <c r="M86" s="277">
        <v>0</v>
      </c>
      <c r="N86" s="277">
        <v>0</v>
      </c>
      <c r="O86" s="380">
        <f t="shared" si="11"/>
        <v>10241</v>
      </c>
      <c r="P86" s="277">
        <v>0</v>
      </c>
      <c r="Q86" s="277">
        <f t="shared" si="12"/>
        <v>-10241</v>
      </c>
    </row>
    <row r="87" spans="1:17" ht="12.75">
      <c r="A87" s="279" t="s">
        <v>546</v>
      </c>
      <c r="B87" s="280" t="s">
        <v>353</v>
      </c>
      <c r="C87" s="277">
        <v>0</v>
      </c>
      <c r="D87" s="277">
        <v>2500</v>
      </c>
      <c r="E87" s="277">
        <v>0</v>
      </c>
      <c r="F87" s="277">
        <v>0</v>
      </c>
      <c r="G87" s="277">
        <v>0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0</v>
      </c>
      <c r="N87" s="277">
        <v>0</v>
      </c>
      <c r="O87" s="380">
        <f t="shared" si="11"/>
        <v>2500</v>
      </c>
      <c r="P87" s="277">
        <v>0</v>
      </c>
      <c r="Q87" s="277">
        <f t="shared" si="12"/>
        <v>-2500</v>
      </c>
    </row>
    <row r="88" spans="1:17" ht="12.75">
      <c r="A88" s="279" t="s">
        <v>547</v>
      </c>
      <c r="B88" s="280" t="s">
        <v>344</v>
      </c>
      <c r="C88" s="277">
        <v>0</v>
      </c>
      <c r="D88" s="277">
        <v>0</v>
      </c>
      <c r="E88" s="277">
        <v>1668</v>
      </c>
      <c r="F88" s="277">
        <v>270</v>
      </c>
      <c r="G88" s="277">
        <v>0</v>
      </c>
      <c r="H88" s="277">
        <v>0</v>
      </c>
      <c r="I88" s="277">
        <v>0</v>
      </c>
      <c r="J88" s="277">
        <v>0</v>
      </c>
      <c r="K88" s="277">
        <v>0</v>
      </c>
      <c r="L88" s="277">
        <v>0</v>
      </c>
      <c r="M88" s="277">
        <v>0</v>
      </c>
      <c r="N88" s="277">
        <v>0</v>
      </c>
      <c r="O88" s="380">
        <f t="shared" si="11"/>
        <v>1938</v>
      </c>
      <c r="P88" s="277">
        <v>0</v>
      </c>
      <c r="Q88" s="277">
        <f t="shared" si="12"/>
        <v>-1938</v>
      </c>
    </row>
    <row r="89" spans="1:17" ht="12.75">
      <c r="A89" s="279" t="s">
        <v>548</v>
      </c>
      <c r="B89" s="280" t="s">
        <v>475</v>
      </c>
      <c r="C89" s="277">
        <v>0</v>
      </c>
      <c r="D89" s="277">
        <v>0</v>
      </c>
      <c r="E89" s="277">
        <v>0</v>
      </c>
      <c r="F89" s="277">
        <v>0</v>
      </c>
      <c r="G89" s="277">
        <v>0</v>
      </c>
      <c r="H89" s="277">
        <v>350</v>
      </c>
      <c r="I89" s="277">
        <v>0</v>
      </c>
      <c r="J89" s="277">
        <v>0</v>
      </c>
      <c r="K89" s="277">
        <v>0</v>
      </c>
      <c r="L89" s="277">
        <v>0</v>
      </c>
      <c r="M89" s="277">
        <v>0</v>
      </c>
      <c r="N89" s="391" t="s">
        <v>564</v>
      </c>
      <c r="O89" s="380">
        <f t="shared" si="11"/>
        <v>350</v>
      </c>
      <c r="P89" s="277">
        <v>70000</v>
      </c>
      <c r="Q89" s="277">
        <f t="shared" si="12"/>
        <v>69650</v>
      </c>
    </row>
    <row r="90" spans="1:17" ht="12.75">
      <c r="A90" s="279" t="s">
        <v>549</v>
      </c>
      <c r="B90" s="280" t="s">
        <v>476</v>
      </c>
      <c r="C90" s="277">
        <v>0</v>
      </c>
      <c r="D90" s="277">
        <v>1250</v>
      </c>
      <c r="E90" s="277">
        <v>0</v>
      </c>
      <c r="F90" s="277">
        <v>21125</v>
      </c>
      <c r="G90" s="277">
        <v>0</v>
      </c>
      <c r="H90" s="277">
        <v>1976</v>
      </c>
      <c r="I90" s="277">
        <v>0</v>
      </c>
      <c r="J90" s="277">
        <v>1975</v>
      </c>
      <c r="K90" s="277">
        <v>8775</v>
      </c>
      <c r="L90" s="277">
        <v>0</v>
      </c>
      <c r="M90" s="277">
        <v>0</v>
      </c>
      <c r="N90" s="277">
        <v>0</v>
      </c>
      <c r="O90" s="380">
        <f t="shared" si="11"/>
        <v>35101</v>
      </c>
      <c r="P90" s="277">
        <v>35000</v>
      </c>
      <c r="Q90" s="277">
        <f t="shared" si="12"/>
        <v>-101</v>
      </c>
    </row>
    <row r="91" spans="1:17" ht="12.75">
      <c r="A91" s="279"/>
      <c r="B91" s="280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84"/>
      <c r="P91" s="374"/>
      <c r="Q91" s="374"/>
    </row>
    <row r="92" spans="1:17" ht="12.75">
      <c r="A92" s="279"/>
      <c r="B92" s="280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82"/>
      <c r="P92" s="372"/>
      <c r="Q92" s="372"/>
    </row>
    <row r="93" spans="1:17" ht="12.75">
      <c r="A93" s="279" t="s">
        <v>103</v>
      </c>
      <c r="B93" s="280"/>
      <c r="C93" s="278">
        <f aca="true" t="shared" si="13" ref="C93:N93">SUM(C73:C90)</f>
        <v>26713</v>
      </c>
      <c r="D93" s="278">
        <f t="shared" si="13"/>
        <v>37685</v>
      </c>
      <c r="E93" s="278">
        <f t="shared" si="13"/>
        <v>31743</v>
      </c>
      <c r="F93" s="278">
        <f t="shared" si="13"/>
        <v>59004</v>
      </c>
      <c r="G93" s="278">
        <f t="shared" si="13"/>
        <v>30330</v>
      </c>
      <c r="H93" s="278">
        <f t="shared" si="13"/>
        <v>41612</v>
      </c>
      <c r="I93" s="278">
        <f t="shared" si="13"/>
        <v>29322</v>
      </c>
      <c r="J93" s="278">
        <f t="shared" si="13"/>
        <v>39775</v>
      </c>
      <c r="K93" s="278">
        <f t="shared" si="13"/>
        <v>31056</v>
      </c>
      <c r="L93" s="278">
        <f t="shared" si="13"/>
        <v>53125</v>
      </c>
      <c r="M93" s="278">
        <f t="shared" si="13"/>
        <v>29000</v>
      </c>
      <c r="N93" s="278">
        <f t="shared" si="13"/>
        <v>22000</v>
      </c>
      <c r="O93" s="381">
        <f>SUM(O73:O90)</f>
        <v>431365</v>
      </c>
      <c r="P93" s="278">
        <f>SUM(P73:P90)</f>
        <v>566101</v>
      </c>
      <c r="Q93" s="278">
        <f>SUM(Q73:Q92)</f>
        <v>134736</v>
      </c>
    </row>
    <row r="94" spans="1:17" ht="12.75">
      <c r="A94" s="279"/>
      <c r="B94" s="280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82"/>
      <c r="P94" s="372"/>
      <c r="Q94" s="372"/>
    </row>
    <row r="95" spans="1:17" ht="24">
      <c r="A95" s="369" t="s">
        <v>104</v>
      </c>
      <c r="B95" s="370"/>
      <c r="C95" s="373">
        <f>C70-C93</f>
        <v>-1</v>
      </c>
      <c r="D95" s="373">
        <f aca="true" t="shared" si="14" ref="D95:O95">D70-D93</f>
        <v>-1</v>
      </c>
      <c r="E95" s="373">
        <f t="shared" si="14"/>
        <v>0</v>
      </c>
      <c r="F95" s="373">
        <f t="shared" si="14"/>
        <v>1</v>
      </c>
      <c r="G95" s="373">
        <f t="shared" si="14"/>
        <v>0</v>
      </c>
      <c r="H95" s="373">
        <f t="shared" si="14"/>
        <v>0</v>
      </c>
      <c r="I95" s="373">
        <f t="shared" si="14"/>
        <v>0</v>
      </c>
      <c r="J95" s="373">
        <f t="shared" si="14"/>
        <v>0</v>
      </c>
      <c r="K95" s="373">
        <f t="shared" si="14"/>
        <v>0</v>
      </c>
      <c r="L95" s="373">
        <f t="shared" si="14"/>
        <v>0</v>
      </c>
      <c r="M95" s="373">
        <f t="shared" si="14"/>
        <v>0</v>
      </c>
      <c r="N95" s="373">
        <f t="shared" si="14"/>
        <v>0</v>
      </c>
      <c r="O95" s="383">
        <f t="shared" si="14"/>
        <v>-1</v>
      </c>
      <c r="P95" s="373">
        <v>0</v>
      </c>
      <c r="Q95" s="373">
        <f>Q70+Q93</f>
        <v>0</v>
      </c>
    </row>
    <row r="96" spans="1:17" ht="12.75">
      <c r="A96" s="279"/>
      <c r="B96" s="280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82"/>
      <c r="P96" s="372"/>
      <c r="Q96" s="372"/>
    </row>
    <row r="97" spans="1:17" ht="13.5" thickBot="1">
      <c r="A97" s="369" t="s">
        <v>378</v>
      </c>
      <c r="B97" s="370"/>
      <c r="C97" s="375">
        <f>C64+C95</f>
        <v>-24381</v>
      </c>
      <c r="D97" s="375">
        <f aca="true" t="shared" si="15" ref="D97:O97">D64+D95</f>
        <v>-27115</v>
      </c>
      <c r="E97" s="375">
        <f t="shared" si="15"/>
        <v>-2981</v>
      </c>
      <c r="F97" s="375">
        <f t="shared" si="15"/>
        <v>28052</v>
      </c>
      <c r="G97" s="375">
        <f t="shared" si="15"/>
        <v>13007</v>
      </c>
      <c r="H97" s="375">
        <f t="shared" si="15"/>
        <v>14198</v>
      </c>
      <c r="I97" s="375">
        <f t="shared" si="15"/>
        <v>-7559</v>
      </c>
      <c r="J97" s="375">
        <f t="shared" si="15"/>
        <v>9279</v>
      </c>
      <c r="K97" s="375">
        <f t="shared" si="15"/>
        <v>-2925</v>
      </c>
      <c r="L97" s="375">
        <f t="shared" si="15"/>
        <v>12954</v>
      </c>
      <c r="M97" s="375">
        <f t="shared" si="15"/>
        <v>-2307</v>
      </c>
      <c r="N97" s="375">
        <f t="shared" si="15"/>
        <v>-4412</v>
      </c>
      <c r="O97" s="385">
        <f t="shared" si="15"/>
        <v>11178</v>
      </c>
      <c r="P97" s="375">
        <v>20000</v>
      </c>
      <c r="Q97" s="375">
        <f>Q95+Q64</f>
        <v>-8586</v>
      </c>
    </row>
  </sheetData>
  <sheetProtection/>
  <mergeCells count="4">
    <mergeCell ref="C4:I4"/>
    <mergeCell ref="J4:N4"/>
    <mergeCell ref="A1:Q1"/>
    <mergeCell ref="A2:Q2"/>
  </mergeCells>
  <printOptions/>
  <pageMargins left="0.7" right="0.7" top="0.75" bottom="0.75" header="0.3" footer="0.3"/>
  <pageSetup fitToHeight="0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PageLayoutView="0" workbookViewId="0" topLeftCell="A7">
      <selection activeCell="B18" sqref="B18"/>
    </sheetView>
  </sheetViews>
  <sheetFormatPr defaultColWidth="8.00390625" defaultRowHeight="12.75"/>
  <cols>
    <col min="1" max="1" width="29.28125" style="121" customWidth="1"/>
    <col min="2" max="2" width="12.28125" style="121" bestFit="1" customWidth="1"/>
    <col min="3" max="3" width="11.00390625" style="121" customWidth="1"/>
    <col min="4" max="4" width="8.00390625" style="121" hidden="1" customWidth="1"/>
    <col min="5" max="5" width="14.8515625" style="344" customWidth="1"/>
    <col min="6" max="6" width="40.7109375" style="339" customWidth="1"/>
    <col min="7" max="16384" width="8.00390625" style="121" customWidth="1"/>
  </cols>
  <sheetData>
    <row r="1" ht="15"/>
    <row r="2" spans="1:6" ht="18">
      <c r="A2" s="429" t="s">
        <v>551</v>
      </c>
      <c r="B2" s="429"/>
      <c r="C2" s="429"/>
      <c r="D2" s="429"/>
      <c r="E2" s="429"/>
      <c r="F2" s="429"/>
    </row>
    <row r="3" spans="1:6" ht="45">
      <c r="A3" s="345" t="s">
        <v>1</v>
      </c>
      <c r="B3" s="346" t="s">
        <v>172</v>
      </c>
      <c r="C3" s="346" t="s">
        <v>173</v>
      </c>
      <c r="D3" s="346" t="s">
        <v>174</v>
      </c>
      <c r="E3" s="346" t="s">
        <v>175</v>
      </c>
      <c r="F3" s="346" t="s">
        <v>508</v>
      </c>
    </row>
    <row r="4" spans="1:6" ht="22.5" customHeight="1">
      <c r="A4" s="347"/>
      <c r="B4" s="348"/>
      <c r="C4" s="348"/>
      <c r="D4" s="348"/>
      <c r="E4" s="351"/>
      <c r="F4" s="349"/>
    </row>
    <row r="5" spans="1:6" ht="22.5" customHeight="1">
      <c r="A5" s="347"/>
      <c r="B5" s="348"/>
      <c r="C5" s="348"/>
      <c r="D5" s="348"/>
      <c r="E5" s="351"/>
      <c r="F5" s="349"/>
    </row>
    <row r="6" spans="1:6" ht="22.5" customHeight="1">
      <c r="A6" s="347"/>
      <c r="B6" s="348"/>
      <c r="C6" s="348"/>
      <c r="D6" s="348"/>
      <c r="E6" s="351"/>
      <c r="F6" s="349"/>
    </row>
    <row r="7" spans="1:6" ht="22.5" customHeight="1">
      <c r="A7" s="347" t="s">
        <v>177</v>
      </c>
      <c r="B7" s="348">
        <f>'2024 Detail'!O48</f>
        <v>0</v>
      </c>
      <c r="C7" s="348">
        <f>ROUND(-B7*4.6%,1)</f>
        <v>0</v>
      </c>
      <c r="D7" s="348">
        <f aca="true" t="shared" si="0" ref="D7:D19">B7+C7</f>
        <v>0</v>
      </c>
      <c r="E7" s="351" t="s">
        <v>176</v>
      </c>
      <c r="F7" s="349"/>
    </row>
    <row r="8" spans="1:6" ht="22.5" customHeight="1">
      <c r="A8" s="347" t="s">
        <v>178</v>
      </c>
      <c r="B8" s="348">
        <f>'2024 Detail'!O50</f>
        <v>6000</v>
      </c>
      <c r="C8" s="348">
        <f>ROUND(-B8*4.6%,1)</f>
        <v>-276</v>
      </c>
      <c r="D8" s="348">
        <f t="shared" si="0"/>
        <v>5724</v>
      </c>
      <c r="E8" s="351" t="s">
        <v>176</v>
      </c>
      <c r="F8" s="349"/>
    </row>
    <row r="9" spans="1:6" ht="34.5" customHeight="1">
      <c r="A9" s="347" t="s">
        <v>179</v>
      </c>
      <c r="B9" s="348">
        <f>'2024 Detail'!O51</f>
        <v>6000</v>
      </c>
      <c r="C9" s="348">
        <f>ROUND(-B9*1%,1)</f>
        <v>-60</v>
      </c>
      <c r="D9" s="348">
        <f t="shared" si="0"/>
        <v>5940</v>
      </c>
      <c r="E9" s="351" t="s">
        <v>415</v>
      </c>
      <c r="F9" s="349" t="s">
        <v>481</v>
      </c>
    </row>
    <row r="10" spans="1:6" ht="22.5" customHeight="1">
      <c r="A10" s="347" t="s">
        <v>180</v>
      </c>
      <c r="B10" s="348">
        <f>'2024 Detail'!O56</f>
        <v>1200</v>
      </c>
      <c r="C10" s="348">
        <f>ROUND(-B10*1%,1)</f>
        <v>-12</v>
      </c>
      <c r="D10" s="348">
        <f t="shared" si="0"/>
        <v>1188</v>
      </c>
      <c r="E10" s="351" t="s">
        <v>415</v>
      </c>
      <c r="F10" s="349"/>
    </row>
    <row r="11" spans="1:6" ht="22.5" customHeight="1">
      <c r="A11" s="347" t="s">
        <v>505</v>
      </c>
      <c r="B11" s="348">
        <f>'2024 Detail'!O53</f>
        <v>3000</v>
      </c>
      <c r="C11" s="348">
        <f>ROUND(-B11*4.6%,1)</f>
        <v>-138</v>
      </c>
      <c r="D11" s="348"/>
      <c r="E11" s="351" t="s">
        <v>176</v>
      </c>
      <c r="F11" s="349"/>
    </row>
    <row r="12" spans="1:6" ht="22.5" customHeight="1">
      <c r="A12" s="347" t="s">
        <v>181</v>
      </c>
      <c r="B12" s="348">
        <f>'2024 Detail'!O45</f>
        <v>4800</v>
      </c>
      <c r="C12" s="348">
        <f>ROUND(-B12*1%,1)</f>
        <v>-48</v>
      </c>
      <c r="D12" s="348">
        <f t="shared" si="0"/>
        <v>4752</v>
      </c>
      <c r="E12" s="352" t="s">
        <v>415</v>
      </c>
      <c r="F12" s="349"/>
    </row>
    <row r="13" spans="1:6" ht="22.5" customHeight="1">
      <c r="A13" s="347" t="s">
        <v>509</v>
      </c>
      <c r="B13" s="348">
        <f>'2024 Detail'!O55</f>
        <v>353068</v>
      </c>
      <c r="C13" s="348">
        <f>ROUND(-B13*4.6%,1)</f>
        <v>-16241.1</v>
      </c>
      <c r="D13" s="348"/>
      <c r="E13" s="352" t="s">
        <v>176</v>
      </c>
      <c r="F13" s="349"/>
    </row>
    <row r="14" spans="1:6" ht="22.5" customHeight="1">
      <c r="A14" s="347" t="s">
        <v>417</v>
      </c>
      <c r="B14" s="348">
        <f>'2024 Detail'!O$64</f>
        <v>138074</v>
      </c>
      <c r="C14" s="348">
        <f>ROUND(-(B14*4.6%),1)</f>
        <v>-6351.4</v>
      </c>
      <c r="D14" s="348">
        <f t="shared" si="0"/>
        <v>131722.6</v>
      </c>
      <c r="E14" s="352" t="s">
        <v>176</v>
      </c>
      <c r="F14" s="349"/>
    </row>
    <row r="15" spans="1:6" ht="22.5" customHeight="1">
      <c r="A15" s="347" t="s">
        <v>141</v>
      </c>
      <c r="B15" s="348">
        <f>'2024 Detail'!O65</f>
        <v>72000</v>
      </c>
      <c r="C15" s="348">
        <f>ROUND(-B15*4.6%,1)</f>
        <v>-3312</v>
      </c>
      <c r="D15" s="348">
        <f t="shared" si="0"/>
        <v>68688</v>
      </c>
      <c r="E15" s="352" t="s">
        <v>176</v>
      </c>
      <c r="F15" s="349"/>
    </row>
    <row r="16" spans="1:6" ht="22.5" customHeight="1">
      <c r="A16" s="347" t="s">
        <v>182</v>
      </c>
      <c r="B16" s="348">
        <f>'2024 Detail'!O67</f>
        <v>134202</v>
      </c>
      <c r="C16" s="348">
        <f>ROUND(-B16*2%,1)</f>
        <v>-2684</v>
      </c>
      <c r="D16" s="348">
        <f t="shared" si="0"/>
        <v>131518</v>
      </c>
      <c r="E16" s="352" t="s">
        <v>416</v>
      </c>
      <c r="F16" s="349"/>
    </row>
    <row r="17" spans="1:6" ht="22.5" customHeight="1">
      <c r="A17" s="347" t="s">
        <v>142</v>
      </c>
      <c r="B17" s="348">
        <f>'2024 Detail'!O66</f>
        <v>191827</v>
      </c>
      <c r="C17" s="348">
        <f>ROUND(-B17*1%,1)</f>
        <v>-1918.3</v>
      </c>
      <c r="D17" s="348">
        <f t="shared" si="0"/>
        <v>189908.7</v>
      </c>
      <c r="E17" s="352" t="s">
        <v>415</v>
      </c>
      <c r="F17" s="349"/>
    </row>
    <row r="18" spans="1:6" ht="30.75">
      <c r="A18" s="347" t="s">
        <v>506</v>
      </c>
      <c r="B18" s="348">
        <f>'VI Electric'!B15</f>
        <v>30121.91</v>
      </c>
      <c r="C18" s="348">
        <f>ROUND(B18*30%,1)</f>
        <v>9036.6</v>
      </c>
      <c r="D18" s="348">
        <f>B18+C18</f>
        <v>39158.51</v>
      </c>
      <c r="E18" s="352" t="s">
        <v>487</v>
      </c>
      <c r="F18" s="349" t="s">
        <v>507</v>
      </c>
    </row>
    <row r="19" spans="1:6" ht="15">
      <c r="A19" s="350" t="s">
        <v>183</v>
      </c>
      <c r="B19" s="348">
        <f>SUM(B4:B16)</f>
        <v>718344</v>
      </c>
      <c r="C19" s="348">
        <f>SUM(C4:C18)</f>
        <v>-22004.199999999997</v>
      </c>
      <c r="D19" s="348">
        <f t="shared" si="0"/>
        <v>696339.8</v>
      </c>
      <c r="E19" s="352"/>
      <c r="F19" s="349"/>
    </row>
    <row r="20" spans="1:6" ht="15">
      <c r="A20" s="340"/>
      <c r="B20" s="340"/>
      <c r="C20" s="340"/>
      <c r="D20" s="340"/>
      <c r="E20" s="353"/>
      <c r="F20" s="341"/>
    </row>
    <row r="21" spans="1:6" ht="15">
      <c r="A21" s="342" t="s">
        <v>184</v>
      </c>
      <c r="B21" s="340"/>
      <c r="C21" s="343">
        <f>C19</f>
        <v>-22004.199999999997</v>
      </c>
      <c r="D21" s="340"/>
      <c r="E21" s="353"/>
      <c r="F21" s="341"/>
    </row>
    <row r="22" spans="1:6" ht="15">
      <c r="A22" s="340"/>
      <c r="B22" s="340"/>
      <c r="C22" s="340"/>
      <c r="D22" s="340"/>
      <c r="E22" s="353"/>
      <c r="F22" s="341"/>
    </row>
    <row r="23" ht="15">
      <c r="C23" s="138">
        <f>C21/12</f>
        <v>-1833.6833333333332</v>
      </c>
    </row>
  </sheetData>
  <sheetProtection/>
  <mergeCells count="1">
    <mergeCell ref="A2:F2"/>
  </mergeCells>
  <printOptions horizontalCentered="1"/>
  <pageMargins left="0.75" right="0.75" top="1" bottom="1" header="0.5" footer="0.5"/>
  <pageSetup fitToHeight="1" fitToWidth="1" horizontalDpi="600" verticalDpi="600" orientation="portrait" scale="84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8515625" style="0" customWidth="1"/>
    <col min="2" max="2" width="8.8515625" style="173" bestFit="1" customWidth="1"/>
  </cols>
  <sheetData>
    <row r="1" ht="12.75">
      <c r="A1" s="153" t="s">
        <v>492</v>
      </c>
    </row>
    <row r="3" spans="1:2" ht="12.75">
      <c r="A3" s="335" t="s">
        <v>493</v>
      </c>
      <c r="B3" s="173">
        <v>3152.65</v>
      </c>
    </row>
    <row r="4" spans="1:2" ht="12.75">
      <c r="A4" s="336" t="s">
        <v>494</v>
      </c>
      <c r="B4" s="173">
        <v>2601.32</v>
      </c>
    </row>
    <row r="5" spans="1:2" ht="12.75">
      <c r="A5" s="337" t="s">
        <v>495</v>
      </c>
      <c r="B5" s="173">
        <v>2008.52</v>
      </c>
    </row>
    <row r="6" spans="1:2" ht="12.75">
      <c r="A6" s="337" t="s">
        <v>496</v>
      </c>
      <c r="B6" s="173">
        <v>2034.46</v>
      </c>
    </row>
    <row r="7" spans="1:2" ht="12.75">
      <c r="A7" s="336" t="s">
        <v>497</v>
      </c>
      <c r="B7" s="173">
        <v>2040.36</v>
      </c>
    </row>
    <row r="8" spans="1:2" ht="12.75">
      <c r="A8" s="337" t="s">
        <v>498</v>
      </c>
      <c r="B8" s="173">
        <v>2000.69</v>
      </c>
    </row>
    <row r="9" spans="1:2" ht="12.75">
      <c r="A9" s="337" t="s">
        <v>499</v>
      </c>
      <c r="B9" s="173">
        <v>2097.06</v>
      </c>
    </row>
    <row r="10" spans="1:2" ht="12.75">
      <c r="A10" s="337" t="s">
        <v>500</v>
      </c>
      <c r="B10" s="173">
        <v>1999.34</v>
      </c>
    </row>
    <row r="11" spans="1:2" ht="12.75">
      <c r="A11" s="337" t="s">
        <v>501</v>
      </c>
      <c r="B11" s="173">
        <v>2160.22</v>
      </c>
    </row>
    <row r="12" spans="1:2" ht="12.75">
      <c r="A12" s="336" t="s">
        <v>502</v>
      </c>
      <c r="B12" s="173">
        <v>2900.1</v>
      </c>
    </row>
    <row r="13" spans="1:2" ht="12.75">
      <c r="A13" s="337" t="s">
        <v>503</v>
      </c>
      <c r="B13" s="173">
        <v>3633.25</v>
      </c>
    </row>
    <row r="14" spans="1:2" ht="12.75">
      <c r="A14" s="337" t="s">
        <v>504</v>
      </c>
      <c r="B14" s="173">
        <v>3493.94</v>
      </c>
    </row>
    <row r="15" ht="12.75">
      <c r="B15" s="338">
        <f>SUM(B3:B14)</f>
        <v>30121.91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view="pageBreakPreview" zoomScale="60" zoomScaleNormal="90" zoomScalePageLayoutView="0" workbookViewId="0" topLeftCell="A52">
      <selection activeCell="C79" sqref="C79"/>
    </sheetView>
  </sheetViews>
  <sheetFormatPr defaultColWidth="8.00390625" defaultRowHeight="12.75"/>
  <cols>
    <col min="1" max="1" width="17.421875" style="123" customWidth="1"/>
    <col min="2" max="2" width="13.140625" style="123" customWidth="1"/>
    <col min="3" max="3" width="64.57421875" style="122" customWidth="1"/>
    <col min="4" max="4" width="3.00390625" style="122" customWidth="1"/>
    <col min="5" max="5" width="13.421875" style="122" bestFit="1" customWidth="1"/>
    <col min="6" max="8" width="8.00390625" style="122" customWidth="1"/>
    <col min="9" max="9" width="12.00390625" style="122" customWidth="1"/>
    <col min="10" max="11" width="8.00390625" style="122" customWidth="1"/>
    <col min="12" max="16384" width="8.00390625" style="123" customWidth="1"/>
  </cols>
  <sheetData>
    <row r="1" spans="1:8" ht="21">
      <c r="A1" s="430" t="s">
        <v>185</v>
      </c>
      <c r="B1" s="430"/>
      <c r="C1" s="430"/>
      <c r="D1" s="430"/>
      <c r="E1" s="430"/>
      <c r="F1" s="430"/>
      <c r="G1" s="430"/>
      <c r="H1" s="430"/>
    </row>
    <row r="2" spans="1:8" ht="21">
      <c r="A2" s="430" t="s">
        <v>186</v>
      </c>
      <c r="B2" s="430"/>
      <c r="C2" s="430"/>
      <c r="D2" s="430"/>
      <c r="E2" s="430"/>
      <c r="F2" s="430"/>
      <c r="G2" s="430"/>
      <c r="H2" s="430"/>
    </row>
    <row r="3" spans="1:8" ht="21">
      <c r="A3" s="430" t="s">
        <v>552</v>
      </c>
      <c r="B3" s="430"/>
      <c r="C3" s="430"/>
      <c r="D3" s="430"/>
      <c r="E3" s="430"/>
      <c r="F3" s="430"/>
      <c r="G3" s="430"/>
      <c r="H3" s="430"/>
    </row>
    <row r="4" ht="12.75">
      <c r="A4" s="124"/>
    </row>
    <row r="5" spans="1:11" s="126" customFormat="1" ht="13.5">
      <c r="A5" s="125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126" customFormat="1" ht="15">
      <c r="A6" s="125" t="s">
        <v>138</v>
      </c>
      <c r="B6" s="131" t="s">
        <v>25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s="126" customFormat="1" ht="13.5">
      <c r="A7" s="125" t="s">
        <v>188</v>
      </c>
      <c r="B7" s="129"/>
      <c r="C7" s="127" t="s">
        <v>189</v>
      </c>
      <c r="D7" s="127"/>
      <c r="E7" s="127"/>
      <c r="F7" s="127"/>
      <c r="G7" s="127"/>
      <c r="H7" s="127"/>
      <c r="I7" s="127"/>
      <c r="J7" s="127"/>
      <c r="K7" s="127"/>
    </row>
    <row r="8" spans="1:11" s="126" customFormat="1" ht="13.5">
      <c r="A8" s="125"/>
      <c r="B8" s="129"/>
      <c r="C8" s="127" t="s">
        <v>190</v>
      </c>
      <c r="D8" s="127"/>
      <c r="E8" s="127"/>
      <c r="F8" s="127"/>
      <c r="G8" s="127"/>
      <c r="H8" s="127"/>
      <c r="I8" s="127"/>
      <c r="J8" s="127"/>
      <c r="K8" s="127"/>
    </row>
    <row r="9" spans="1:11" s="126" customFormat="1" ht="13.5">
      <c r="A9" s="125"/>
      <c r="B9" s="129"/>
      <c r="C9" s="127" t="s">
        <v>187</v>
      </c>
      <c r="D9" s="127"/>
      <c r="E9" s="128">
        <f>'2024 budget comp'!Q21</f>
        <v>22200</v>
      </c>
      <c r="F9" s="127"/>
      <c r="G9" s="127"/>
      <c r="H9" s="127"/>
      <c r="I9" s="127"/>
      <c r="J9" s="127"/>
      <c r="K9" s="127"/>
    </row>
    <row r="10" spans="1:11" s="126" customFormat="1" ht="13.5">
      <c r="A10" s="125"/>
      <c r="B10" s="129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s="126" customFormat="1" ht="13.5">
      <c r="A11" s="125" t="s">
        <v>191</v>
      </c>
      <c r="C11" s="127" t="s">
        <v>511</v>
      </c>
      <c r="D11" s="127"/>
      <c r="E11" s="127"/>
      <c r="F11" s="127"/>
      <c r="G11" s="127"/>
      <c r="H11" s="127"/>
      <c r="I11" s="127"/>
      <c r="J11" s="127"/>
      <c r="K11" s="127"/>
    </row>
    <row r="12" spans="1:11" s="126" customFormat="1" ht="13.5">
      <c r="A12" s="125" t="s">
        <v>192</v>
      </c>
      <c r="C12" s="127" t="s">
        <v>512</v>
      </c>
      <c r="D12" s="127"/>
      <c r="E12" s="127"/>
      <c r="F12" s="127"/>
      <c r="G12" s="127"/>
      <c r="H12" s="127"/>
      <c r="I12" s="127"/>
      <c r="J12" s="127"/>
      <c r="K12" s="127"/>
    </row>
    <row r="13" spans="1:11" s="126" customFormat="1" ht="13.5">
      <c r="A13" s="125"/>
      <c r="C13" s="127" t="s">
        <v>187</v>
      </c>
      <c r="D13" s="127"/>
      <c r="E13" s="128">
        <f>'2024 budget comp'!Q23</f>
        <v>16900</v>
      </c>
      <c r="F13" s="127"/>
      <c r="G13" s="127"/>
      <c r="H13" s="127"/>
      <c r="I13" s="127"/>
      <c r="J13" s="127"/>
      <c r="K13" s="127"/>
    </row>
    <row r="14" spans="1:11" s="126" customFormat="1" ht="13.5">
      <c r="A14" s="125"/>
      <c r="C14" s="127"/>
      <c r="D14" s="127"/>
      <c r="E14" s="128"/>
      <c r="F14" s="127"/>
      <c r="G14" s="127"/>
      <c r="H14" s="127"/>
      <c r="I14" s="127"/>
      <c r="J14" s="127"/>
      <c r="K14" s="127"/>
    </row>
    <row r="15" spans="1:11" s="126" customFormat="1" ht="13.5">
      <c r="A15" s="125" t="s">
        <v>234</v>
      </c>
      <c r="C15" s="127" t="s">
        <v>571</v>
      </c>
      <c r="D15" s="127"/>
      <c r="E15" s="128"/>
      <c r="F15" s="127"/>
      <c r="G15" s="127"/>
      <c r="H15" s="127"/>
      <c r="I15" s="127"/>
      <c r="J15" s="127"/>
      <c r="K15" s="127"/>
    </row>
    <row r="16" spans="1:11" s="126" customFormat="1" ht="13.5">
      <c r="A16" s="125" t="s">
        <v>192</v>
      </c>
      <c r="C16" s="127" t="s">
        <v>572</v>
      </c>
      <c r="D16" s="127"/>
      <c r="E16" s="128"/>
      <c r="F16" s="127"/>
      <c r="G16" s="127"/>
      <c r="H16" s="127"/>
      <c r="I16" s="127"/>
      <c r="J16" s="127"/>
      <c r="K16" s="127"/>
    </row>
    <row r="17" spans="1:11" s="126" customFormat="1" ht="13.5">
      <c r="A17" s="125"/>
      <c r="C17" s="127" t="s">
        <v>598</v>
      </c>
      <c r="D17" s="127"/>
      <c r="E17" s="128"/>
      <c r="F17" s="127"/>
      <c r="G17" s="127"/>
      <c r="H17" s="127"/>
      <c r="I17" s="127"/>
      <c r="J17" s="127"/>
      <c r="K17" s="127"/>
    </row>
    <row r="18" spans="1:11" s="126" customFormat="1" ht="13.5">
      <c r="A18" s="125"/>
      <c r="C18" s="127" t="s">
        <v>187</v>
      </c>
      <c r="D18" s="127"/>
      <c r="E18" s="128">
        <f>'2024 budget comp'!Q24</f>
        <v>4800</v>
      </c>
      <c r="F18" s="127"/>
      <c r="G18" s="127"/>
      <c r="H18" s="127"/>
      <c r="I18" s="127"/>
      <c r="J18" s="127"/>
      <c r="K18" s="127"/>
    </row>
    <row r="19" spans="1:11" s="126" customFormat="1" ht="13.5">
      <c r="A19" s="125"/>
      <c r="C19" s="127"/>
      <c r="D19" s="127"/>
      <c r="E19" s="128"/>
      <c r="F19" s="127"/>
      <c r="G19" s="127"/>
      <c r="H19" s="127"/>
      <c r="I19" s="127"/>
      <c r="J19" s="127"/>
      <c r="K19" s="127"/>
    </row>
    <row r="20" spans="1:11" s="126" customFormat="1" ht="13.5">
      <c r="A20" s="125" t="s">
        <v>593</v>
      </c>
      <c r="C20" s="127" t="s">
        <v>599</v>
      </c>
      <c r="D20" s="127"/>
      <c r="E20" s="128"/>
      <c r="F20" s="127"/>
      <c r="G20" s="127"/>
      <c r="H20" s="127"/>
      <c r="I20" s="127"/>
      <c r="J20" s="127"/>
      <c r="K20" s="127"/>
    </row>
    <row r="21" spans="1:11" s="126" customFormat="1" ht="13.5">
      <c r="A21" s="125"/>
      <c r="C21" s="127" t="s">
        <v>193</v>
      </c>
      <c r="D21" s="127"/>
      <c r="E21" s="128">
        <f>'2024 budget comp'!Q25</f>
        <v>1700</v>
      </c>
      <c r="F21" s="127"/>
      <c r="G21" s="127"/>
      <c r="H21" s="127"/>
      <c r="I21" s="127"/>
      <c r="J21" s="127"/>
      <c r="K21" s="127"/>
    </row>
    <row r="22" spans="1:11" s="126" customFormat="1" ht="13.5">
      <c r="A22" s="125"/>
      <c r="C22" s="127"/>
      <c r="D22" s="127"/>
      <c r="E22" s="128"/>
      <c r="F22" s="127"/>
      <c r="G22" s="127"/>
      <c r="H22" s="127"/>
      <c r="I22" s="127"/>
      <c r="J22" s="127"/>
      <c r="K22" s="127"/>
    </row>
    <row r="23" spans="1:11" s="126" customFormat="1" ht="13.5">
      <c r="A23" s="125" t="s">
        <v>608</v>
      </c>
      <c r="C23" s="127" t="s">
        <v>573</v>
      </c>
      <c r="D23" s="127"/>
      <c r="E23" s="127"/>
      <c r="F23" s="127"/>
      <c r="G23" s="127"/>
      <c r="H23" s="127"/>
      <c r="I23" s="127"/>
      <c r="J23" s="127"/>
      <c r="K23" s="127"/>
    </row>
    <row r="24" spans="1:11" s="126" customFormat="1" ht="13.5">
      <c r="A24" s="125" t="s">
        <v>609</v>
      </c>
      <c r="C24" s="127" t="s">
        <v>193</v>
      </c>
      <c r="D24" s="127"/>
      <c r="E24" s="128">
        <f>'2024 budget comp'!Q26</f>
        <v>7800</v>
      </c>
      <c r="F24" s="127"/>
      <c r="G24" s="127"/>
      <c r="H24" s="127"/>
      <c r="I24" s="127"/>
      <c r="J24" s="127"/>
      <c r="K24" s="127"/>
    </row>
    <row r="25" spans="1:11" s="126" customFormat="1" ht="13.5">
      <c r="A25" s="125"/>
      <c r="C25" s="127"/>
      <c r="D25" s="127"/>
      <c r="E25" s="128"/>
      <c r="F25" s="127"/>
      <c r="G25" s="127"/>
      <c r="H25" s="127"/>
      <c r="I25" s="127"/>
      <c r="J25" s="127"/>
      <c r="K25" s="127"/>
    </row>
    <row r="26" spans="1:11" s="126" customFormat="1" ht="13.5">
      <c r="A26" s="125" t="s">
        <v>122</v>
      </c>
      <c r="C26" s="127" t="s">
        <v>574</v>
      </c>
      <c r="D26" s="127"/>
      <c r="E26" s="127"/>
      <c r="F26" s="127"/>
      <c r="G26" s="127"/>
      <c r="H26" s="127"/>
      <c r="I26" s="127"/>
      <c r="J26" s="127"/>
      <c r="K26" s="127"/>
    </row>
    <row r="27" spans="1:11" s="126" customFormat="1" ht="13.5">
      <c r="A27" s="125"/>
      <c r="C27" s="127" t="s">
        <v>187</v>
      </c>
      <c r="D27" s="127"/>
      <c r="E27" s="128">
        <f>'2024 budget comp'!Q28</f>
        <v>600</v>
      </c>
      <c r="F27" s="127"/>
      <c r="G27" s="127"/>
      <c r="H27" s="127"/>
      <c r="I27" s="127"/>
      <c r="J27" s="127"/>
      <c r="K27" s="127"/>
    </row>
    <row r="28" spans="1:11" s="126" customFormat="1" ht="13.5">
      <c r="A28" s="125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s="126" customFormat="1" ht="13.5">
      <c r="A29" s="125" t="s">
        <v>249</v>
      </c>
      <c r="C29" s="127" t="s">
        <v>575</v>
      </c>
      <c r="D29" s="127"/>
      <c r="E29" s="127"/>
      <c r="F29" s="127"/>
      <c r="G29" s="127"/>
      <c r="H29" s="127"/>
      <c r="I29" s="127"/>
      <c r="J29" s="127"/>
      <c r="K29" s="127"/>
    </row>
    <row r="30" spans="1:11" s="126" customFormat="1" ht="13.5">
      <c r="A30" s="125"/>
      <c r="C30" s="127" t="s">
        <v>187</v>
      </c>
      <c r="D30" s="127"/>
      <c r="E30" s="127"/>
      <c r="F30" s="127"/>
      <c r="G30" s="127"/>
      <c r="H30" s="127"/>
      <c r="I30" s="127"/>
      <c r="J30" s="127"/>
      <c r="K30" s="127"/>
    </row>
    <row r="31" spans="1:11" s="126" customFormat="1" ht="13.5">
      <c r="A31" s="125"/>
      <c r="C31" s="127"/>
      <c r="D31" s="127"/>
      <c r="E31" s="156">
        <f>'2024 budget comp'!Q29</f>
        <v>0</v>
      </c>
      <c r="F31" s="127"/>
      <c r="G31" s="127"/>
      <c r="H31" s="127"/>
      <c r="I31" s="127"/>
      <c r="J31" s="127"/>
      <c r="K31" s="127"/>
    </row>
    <row r="32" spans="1:11" s="126" customFormat="1" ht="13.5">
      <c r="A32" s="125" t="s">
        <v>267</v>
      </c>
      <c r="C32" s="127" t="s">
        <v>268</v>
      </c>
      <c r="D32" s="127"/>
      <c r="E32" s="128"/>
      <c r="F32" s="127"/>
      <c r="G32" s="127"/>
      <c r="H32" s="127"/>
      <c r="I32" s="127"/>
      <c r="J32" s="127"/>
      <c r="K32" s="127"/>
    </row>
    <row r="33" spans="3:11" s="126" customFormat="1" ht="13.5">
      <c r="C33" s="127" t="s">
        <v>187</v>
      </c>
      <c r="D33" s="127"/>
      <c r="E33" s="128">
        <f>'2024 budget comp'!Q30</f>
        <v>13700</v>
      </c>
      <c r="F33" s="127"/>
      <c r="G33" s="127"/>
      <c r="H33" s="127"/>
      <c r="I33" s="127"/>
      <c r="J33" s="127"/>
      <c r="K33" s="127"/>
    </row>
    <row r="34" spans="3:11" s="126" customFormat="1" ht="13.5">
      <c r="C34" s="127"/>
      <c r="D34" s="127"/>
      <c r="E34" s="128"/>
      <c r="F34" s="127"/>
      <c r="G34" s="127"/>
      <c r="H34" s="127"/>
      <c r="I34" s="127"/>
      <c r="J34" s="127"/>
      <c r="K34" s="127"/>
    </row>
    <row r="35" spans="1:11" s="126" customFormat="1" ht="13.5">
      <c r="A35" s="125" t="s">
        <v>606</v>
      </c>
      <c r="C35" s="127" t="s">
        <v>194</v>
      </c>
      <c r="D35" s="127"/>
      <c r="E35" s="127"/>
      <c r="F35" s="127"/>
      <c r="G35" s="127"/>
      <c r="H35" s="127"/>
      <c r="I35" s="127"/>
      <c r="J35" s="127"/>
      <c r="K35" s="127"/>
    </row>
    <row r="36" spans="1:11" s="126" customFormat="1" ht="13.5">
      <c r="A36" s="125"/>
      <c r="C36" s="127" t="s">
        <v>195</v>
      </c>
      <c r="D36" s="127"/>
      <c r="E36" s="127"/>
      <c r="F36" s="127"/>
      <c r="G36" s="127"/>
      <c r="H36" s="127"/>
      <c r="I36" s="127"/>
      <c r="J36" s="127"/>
      <c r="K36" s="127"/>
    </row>
    <row r="37" spans="1:11" s="126" customFormat="1" ht="13.5">
      <c r="A37" s="125"/>
      <c r="C37" s="127" t="s">
        <v>196</v>
      </c>
      <c r="D37" s="127"/>
      <c r="E37" s="127"/>
      <c r="F37" s="127"/>
      <c r="G37" s="127"/>
      <c r="H37" s="127"/>
      <c r="I37" s="127"/>
      <c r="J37" s="127"/>
      <c r="K37" s="127"/>
    </row>
    <row r="38" spans="3:11" s="126" customFormat="1" ht="13.5">
      <c r="C38" s="127" t="s">
        <v>187</v>
      </c>
      <c r="D38" s="127"/>
      <c r="E38" s="128">
        <f>'2024 budget comp'!Q31</f>
        <v>24000</v>
      </c>
      <c r="F38" s="127"/>
      <c r="G38" s="127"/>
      <c r="H38" s="127"/>
      <c r="I38" s="127"/>
      <c r="J38" s="127"/>
      <c r="K38" s="127"/>
    </row>
    <row r="39" spans="1:11" s="126" customFormat="1" ht="13.5">
      <c r="A39" s="125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s="126" customFormat="1" ht="13.5">
      <c r="A40" s="125" t="s">
        <v>607</v>
      </c>
      <c r="C40" s="127" t="s">
        <v>513</v>
      </c>
      <c r="D40" s="127"/>
      <c r="E40" s="136"/>
      <c r="F40" s="127"/>
      <c r="G40" s="127"/>
      <c r="H40" s="127"/>
      <c r="I40" s="127"/>
      <c r="J40" s="127"/>
      <c r="K40" s="127"/>
    </row>
    <row r="41" spans="1:11" s="126" customFormat="1" ht="13.5">
      <c r="A41" s="125"/>
      <c r="C41" s="127" t="s">
        <v>187</v>
      </c>
      <c r="D41" s="127"/>
      <c r="E41" s="128">
        <f>'2024 budget comp'!Q33</f>
        <v>600</v>
      </c>
      <c r="F41" s="127"/>
      <c r="G41" s="127"/>
      <c r="H41" s="127"/>
      <c r="I41" s="127"/>
      <c r="J41" s="127"/>
      <c r="K41" s="127"/>
    </row>
    <row r="42" spans="1:11" s="126" customFormat="1" ht="13.5">
      <c r="A42" s="125"/>
      <c r="C42" s="127"/>
      <c r="D42" s="127"/>
      <c r="E42" s="128"/>
      <c r="F42" s="127"/>
      <c r="G42" s="127"/>
      <c r="H42" s="127"/>
      <c r="I42" s="127"/>
      <c r="J42" s="127"/>
      <c r="K42" s="127"/>
    </row>
    <row r="43" spans="1:11" s="126" customFormat="1" ht="13.5">
      <c r="A43" s="125" t="s">
        <v>565</v>
      </c>
      <c r="C43" s="127" t="s">
        <v>604</v>
      </c>
      <c r="D43" s="127"/>
      <c r="E43" s="128"/>
      <c r="F43" s="127"/>
      <c r="G43" s="127"/>
      <c r="H43" s="127"/>
      <c r="I43" s="127"/>
      <c r="J43" s="127"/>
      <c r="K43" s="127"/>
    </row>
    <row r="44" spans="1:11" s="126" customFormat="1" ht="13.5">
      <c r="A44" s="125"/>
      <c r="C44" s="127" t="s">
        <v>187</v>
      </c>
      <c r="D44" s="127"/>
      <c r="E44" s="128">
        <f>'2024 Detail'!O35</f>
        <v>35684.55</v>
      </c>
      <c r="F44" s="127"/>
      <c r="G44" s="127"/>
      <c r="H44" s="127"/>
      <c r="I44" s="127"/>
      <c r="J44" s="127"/>
      <c r="K44" s="127"/>
    </row>
    <row r="45" spans="1:11" s="126" customFormat="1" ht="13.5">
      <c r="A45" s="125"/>
      <c r="C45" s="127"/>
      <c r="D45" s="127"/>
      <c r="E45" s="128"/>
      <c r="F45" s="127"/>
      <c r="G45" s="127"/>
      <c r="H45" s="127"/>
      <c r="I45" s="127"/>
      <c r="J45" s="127"/>
      <c r="K45" s="127"/>
    </row>
    <row r="46" spans="1:11" s="126" customFormat="1" ht="13.5">
      <c r="A46" s="125" t="s">
        <v>197</v>
      </c>
      <c r="C46" s="126" t="s">
        <v>579</v>
      </c>
      <c r="D46" s="127"/>
      <c r="E46" s="128"/>
      <c r="F46" s="127"/>
      <c r="G46" s="127"/>
      <c r="H46" s="127"/>
      <c r="I46" s="127"/>
      <c r="J46" s="127"/>
      <c r="K46" s="127"/>
    </row>
    <row r="47" spans="1:11" s="126" customFormat="1" ht="13.5">
      <c r="A47" s="125"/>
      <c r="C47" s="126" t="s">
        <v>580</v>
      </c>
      <c r="D47" s="127"/>
      <c r="E47" s="128"/>
      <c r="F47" s="127"/>
      <c r="G47" s="127"/>
      <c r="H47" s="127"/>
      <c r="I47" s="127"/>
      <c r="J47" s="127"/>
      <c r="K47" s="127"/>
    </row>
    <row r="48" spans="1:11" s="126" customFormat="1" ht="13.5">
      <c r="A48" s="125"/>
      <c r="C48" s="127" t="s">
        <v>187</v>
      </c>
      <c r="D48" s="127"/>
      <c r="E48" s="128">
        <f>'2024 budget comp'!Q34</f>
        <v>157792.80000000002</v>
      </c>
      <c r="F48" s="127"/>
      <c r="G48" s="127"/>
      <c r="H48" s="127"/>
      <c r="I48" s="127"/>
      <c r="J48" s="127"/>
      <c r="K48" s="127"/>
    </row>
    <row r="49" spans="1:11" s="126" customFormat="1" ht="13.5">
      <c r="A49" s="125"/>
      <c r="C49" s="127"/>
      <c r="D49" s="127"/>
      <c r="E49" s="128"/>
      <c r="F49" s="127"/>
      <c r="G49" s="127"/>
      <c r="H49" s="127"/>
      <c r="I49" s="127"/>
      <c r="J49" s="127"/>
      <c r="K49" s="127"/>
    </row>
    <row r="50" spans="1:11" s="126" customFormat="1" ht="13.5">
      <c r="A50" s="125"/>
      <c r="C50" s="127"/>
      <c r="D50" s="127"/>
      <c r="E50" s="128"/>
      <c r="F50" s="127"/>
      <c r="G50" s="127"/>
      <c r="H50" s="127"/>
      <c r="I50" s="127"/>
      <c r="J50" s="127"/>
      <c r="K50" s="127"/>
    </row>
    <row r="51" spans="1:11" s="126" customFormat="1" ht="13.5">
      <c r="A51" s="125" t="s">
        <v>241</v>
      </c>
      <c r="C51" s="127" t="s">
        <v>242</v>
      </c>
      <c r="D51" s="127"/>
      <c r="E51" s="128"/>
      <c r="F51" s="127"/>
      <c r="G51" s="127"/>
      <c r="H51" s="127"/>
      <c r="I51" s="127"/>
      <c r="J51" s="127"/>
      <c r="K51" s="127"/>
    </row>
    <row r="52" spans="1:11" s="126" customFormat="1" ht="13.5">
      <c r="A52" s="125"/>
      <c r="C52" s="127" t="s">
        <v>193</v>
      </c>
      <c r="D52" s="127"/>
      <c r="E52" s="128">
        <f>'2024 budget comp'!Q35</f>
        <v>0</v>
      </c>
      <c r="F52" s="127"/>
      <c r="G52" s="127"/>
      <c r="H52" s="127"/>
      <c r="I52" s="127"/>
      <c r="J52" s="127"/>
      <c r="K52" s="127"/>
    </row>
    <row r="53" spans="1:11" s="126" customFormat="1" ht="13.5">
      <c r="A53" s="125"/>
      <c r="C53" s="127"/>
      <c r="D53" s="127"/>
      <c r="E53" s="128"/>
      <c r="F53" s="127"/>
      <c r="G53" s="127"/>
      <c r="H53" s="127"/>
      <c r="I53" s="127"/>
      <c r="J53" s="127"/>
      <c r="K53" s="127"/>
    </row>
    <row r="54" spans="1:11" s="126" customFormat="1" ht="13.5">
      <c r="A54" s="125" t="s">
        <v>198</v>
      </c>
      <c r="C54" s="127" t="s">
        <v>578</v>
      </c>
      <c r="D54" s="127"/>
      <c r="E54" s="128"/>
      <c r="F54" s="127"/>
      <c r="G54" s="127"/>
      <c r="H54" s="127"/>
      <c r="I54" s="127"/>
      <c r="J54" s="127"/>
      <c r="K54" s="127"/>
    </row>
    <row r="55" spans="1:11" s="126" customFormat="1" ht="13.5">
      <c r="A55" s="125"/>
      <c r="C55" s="127" t="s">
        <v>187</v>
      </c>
      <c r="D55" s="127"/>
      <c r="E55" s="128">
        <f>'2024 budget comp'!Q36</f>
        <v>1561.9499999999996</v>
      </c>
      <c r="F55" s="127"/>
      <c r="G55" s="127"/>
      <c r="H55" s="127"/>
      <c r="I55" s="127"/>
      <c r="J55" s="127"/>
      <c r="K55" s="127"/>
    </row>
    <row r="56" spans="1:11" s="126" customFormat="1" ht="13.5">
      <c r="A56" s="125"/>
      <c r="C56" s="127"/>
      <c r="D56" s="127"/>
      <c r="E56" s="128"/>
      <c r="F56" s="127"/>
      <c r="G56" s="127"/>
      <c r="H56" s="127"/>
      <c r="I56" s="127"/>
      <c r="J56" s="127"/>
      <c r="K56" s="127"/>
    </row>
    <row r="57" spans="2:11" s="126" customFormat="1" ht="15">
      <c r="B57" s="133" t="s">
        <v>125</v>
      </c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s="126" customFormat="1" ht="13.5">
      <c r="A58" s="125" t="s">
        <v>199</v>
      </c>
      <c r="C58" s="127" t="s">
        <v>200</v>
      </c>
      <c r="D58" s="127"/>
      <c r="E58" s="127"/>
      <c r="F58" s="127"/>
      <c r="G58" s="127"/>
      <c r="H58" s="127"/>
      <c r="I58" s="127"/>
      <c r="J58" s="127"/>
      <c r="K58" s="127"/>
    </row>
    <row r="59" spans="1:11" s="126" customFormat="1" ht="13.5">
      <c r="A59" s="125"/>
      <c r="B59" s="132"/>
      <c r="C59" s="127" t="s">
        <v>187</v>
      </c>
      <c r="D59" s="127"/>
      <c r="E59" s="128">
        <f>'2024 budget comp'!Q40</f>
        <v>18720</v>
      </c>
      <c r="F59" s="127"/>
      <c r="G59" s="127"/>
      <c r="H59" s="127"/>
      <c r="I59" s="127"/>
      <c r="J59" s="127"/>
      <c r="K59" s="127"/>
    </row>
    <row r="60" spans="1:11" s="126" customFormat="1" ht="13.5">
      <c r="A60" s="125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s="126" customFormat="1" ht="13.5">
      <c r="A61" s="125" t="s">
        <v>201</v>
      </c>
      <c r="C61" s="127" t="s">
        <v>202</v>
      </c>
      <c r="D61" s="127"/>
      <c r="E61" s="127"/>
      <c r="F61" s="127"/>
      <c r="G61" s="127"/>
      <c r="H61" s="127"/>
      <c r="I61" s="127"/>
      <c r="J61" s="127"/>
      <c r="K61" s="127"/>
    </row>
    <row r="62" spans="3:11" s="126" customFormat="1" ht="13.5">
      <c r="C62" s="127" t="s">
        <v>187</v>
      </c>
      <c r="D62" s="127"/>
      <c r="E62" s="130">
        <f>'2024 budget comp'!Q41</f>
        <v>4800</v>
      </c>
      <c r="F62" s="127"/>
      <c r="G62" s="127"/>
      <c r="H62" s="127"/>
      <c r="I62" s="127"/>
      <c r="J62" s="127"/>
      <c r="K62" s="127"/>
    </row>
    <row r="63" spans="3:11" s="126" customFormat="1" ht="13.5"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s="126" customFormat="1" ht="13.5">
      <c r="A64" s="125" t="s">
        <v>203</v>
      </c>
      <c r="C64" s="127" t="s">
        <v>581</v>
      </c>
      <c r="D64" s="127"/>
      <c r="E64" s="127"/>
      <c r="F64" s="127"/>
      <c r="G64" s="127"/>
      <c r="H64" s="127"/>
      <c r="I64" s="127"/>
      <c r="J64" s="127"/>
      <c r="K64" s="127"/>
    </row>
    <row r="65" spans="1:11" s="126" customFormat="1" ht="13.5">
      <c r="A65" s="125" t="s">
        <v>204</v>
      </c>
      <c r="C65" s="127" t="s">
        <v>570</v>
      </c>
      <c r="D65" s="127"/>
      <c r="E65" s="127"/>
      <c r="F65" s="127"/>
      <c r="G65" s="127"/>
      <c r="H65" s="127"/>
      <c r="I65" s="127"/>
      <c r="J65" s="127"/>
      <c r="K65" s="127"/>
    </row>
    <row r="66" spans="1:11" s="126" customFormat="1" ht="13.5">
      <c r="A66" s="125"/>
      <c r="C66" s="127" t="s">
        <v>582</v>
      </c>
      <c r="D66" s="127"/>
      <c r="E66" s="127"/>
      <c r="F66" s="127"/>
      <c r="G66" s="127"/>
      <c r="H66" s="127"/>
      <c r="I66" s="127"/>
      <c r="J66" s="127"/>
      <c r="K66" s="127"/>
    </row>
    <row r="67" spans="1:11" s="126" customFormat="1" ht="13.5">
      <c r="A67" s="125"/>
      <c r="C67" s="127" t="s">
        <v>187</v>
      </c>
      <c r="D67" s="127"/>
      <c r="E67" s="130">
        <f>'2024 budget comp'!Q42</f>
        <v>90000</v>
      </c>
      <c r="F67" s="127"/>
      <c r="G67" s="127"/>
      <c r="H67" s="127"/>
      <c r="I67" s="127"/>
      <c r="J67" s="127"/>
      <c r="K67" s="127"/>
    </row>
    <row r="68" spans="3:11" s="126" customFormat="1" ht="13.5">
      <c r="C68" s="127"/>
      <c r="D68" s="127"/>
      <c r="E68" s="127"/>
      <c r="F68" s="127"/>
      <c r="G68" s="127"/>
      <c r="H68" s="127"/>
      <c r="I68" s="127"/>
      <c r="J68" s="127"/>
      <c r="K68" s="127"/>
    </row>
    <row r="69" spans="1:11" s="126" customFormat="1" ht="13.5">
      <c r="A69" s="125" t="s">
        <v>205</v>
      </c>
      <c r="C69" s="127" t="s">
        <v>569</v>
      </c>
      <c r="D69" s="127"/>
      <c r="E69" s="127"/>
      <c r="F69" s="127"/>
      <c r="G69" s="127"/>
      <c r="H69" s="127"/>
      <c r="I69" s="127"/>
      <c r="J69" s="127"/>
      <c r="K69" s="127"/>
    </row>
    <row r="70" spans="1:11" s="126" customFormat="1" ht="13.5">
      <c r="A70" s="125" t="s">
        <v>206</v>
      </c>
      <c r="C70" s="127" t="s">
        <v>207</v>
      </c>
      <c r="D70" s="127"/>
      <c r="E70" s="127"/>
      <c r="F70" s="127"/>
      <c r="G70" s="127"/>
      <c r="H70" s="127"/>
      <c r="I70" s="127"/>
      <c r="J70" s="127"/>
      <c r="K70" s="127"/>
    </row>
    <row r="71" spans="1:11" s="126" customFormat="1" ht="13.5">
      <c r="A71" s="125"/>
      <c r="C71" s="127" t="s">
        <v>187</v>
      </c>
      <c r="D71" s="127"/>
      <c r="E71" s="128">
        <f>'2024 budget comp'!Q43</f>
        <v>1200</v>
      </c>
      <c r="F71" s="127"/>
      <c r="G71" s="127"/>
      <c r="H71" s="127"/>
      <c r="I71" s="127"/>
      <c r="J71" s="127"/>
      <c r="K71" s="127"/>
    </row>
    <row r="72" spans="1:11" s="126" customFormat="1" ht="13.5">
      <c r="A72" s="125"/>
      <c r="C72" s="127"/>
      <c r="D72" s="127"/>
      <c r="E72" s="128"/>
      <c r="F72" s="127"/>
      <c r="G72" s="127"/>
      <c r="H72" s="127"/>
      <c r="I72" s="127"/>
      <c r="J72" s="127"/>
      <c r="K72" s="127"/>
    </row>
    <row r="73" spans="1:11" s="126" customFormat="1" ht="13.5">
      <c r="A73" s="125" t="s">
        <v>208</v>
      </c>
      <c r="C73" s="127" t="s">
        <v>583</v>
      </c>
      <c r="D73" s="127"/>
      <c r="E73" s="127"/>
      <c r="F73" s="127"/>
      <c r="G73" s="127"/>
      <c r="H73" s="127"/>
      <c r="I73" s="127"/>
      <c r="J73" s="127"/>
      <c r="K73" s="127"/>
    </row>
    <row r="74" spans="1:11" s="126" customFormat="1" ht="13.5">
      <c r="A74" s="125" t="s">
        <v>209</v>
      </c>
      <c r="C74" s="127" t="s">
        <v>187</v>
      </c>
      <c r="D74" s="127"/>
      <c r="E74" s="128">
        <f>'2024 budget comp'!Q44</f>
        <v>0</v>
      </c>
      <c r="F74" s="127"/>
      <c r="G74" s="127"/>
      <c r="H74" s="127"/>
      <c r="I74" s="127"/>
      <c r="J74" s="127"/>
      <c r="K74" s="127"/>
    </row>
    <row r="75" spans="1:11" s="126" customFormat="1" ht="13.5">
      <c r="A75" s="125"/>
      <c r="F75" s="127"/>
      <c r="G75" s="127"/>
      <c r="H75" s="127"/>
      <c r="I75" s="127"/>
      <c r="J75" s="127"/>
      <c r="K75" s="127"/>
    </row>
    <row r="76" spans="1:11" s="126" customFormat="1" ht="13.5">
      <c r="A76" s="125" t="s">
        <v>210</v>
      </c>
      <c r="C76" s="127" t="s">
        <v>211</v>
      </c>
      <c r="D76" s="127"/>
      <c r="E76" s="127"/>
      <c r="F76" s="127"/>
      <c r="G76" s="127"/>
      <c r="H76" s="127"/>
      <c r="I76" s="127"/>
      <c r="J76" s="127"/>
      <c r="K76" s="127"/>
    </row>
    <row r="77" spans="1:11" s="126" customFormat="1" ht="13.5">
      <c r="A77" s="125" t="s">
        <v>586</v>
      </c>
      <c r="C77" s="127" t="s">
        <v>212</v>
      </c>
      <c r="D77" s="127"/>
      <c r="E77" s="127"/>
      <c r="F77" s="127"/>
      <c r="G77" s="127"/>
      <c r="H77" s="127"/>
      <c r="I77" s="127"/>
      <c r="J77" s="127"/>
      <c r="K77" s="127"/>
    </row>
    <row r="78" spans="1:11" s="126" customFormat="1" ht="13.5">
      <c r="A78" s="125"/>
      <c r="C78" s="127" t="s">
        <v>187</v>
      </c>
      <c r="D78" s="127"/>
      <c r="E78" s="128">
        <f>'2024 budget comp'!Q45</f>
        <v>0</v>
      </c>
      <c r="F78" s="127"/>
      <c r="G78" s="127"/>
      <c r="H78" s="127"/>
      <c r="I78" s="127"/>
      <c r="J78" s="127"/>
      <c r="K78" s="127"/>
    </row>
    <row r="79" spans="1:11" s="126" customFormat="1" ht="13.5">
      <c r="A79" s="125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s="126" customFormat="1" ht="13.5">
      <c r="A80" s="125" t="s">
        <v>210</v>
      </c>
      <c r="C80" s="127" t="s">
        <v>585</v>
      </c>
      <c r="D80" s="127"/>
      <c r="E80" s="127"/>
      <c r="F80" s="127"/>
      <c r="G80" s="127"/>
      <c r="H80" s="127"/>
      <c r="I80" s="127"/>
      <c r="J80" s="127"/>
      <c r="K80" s="127"/>
    </row>
    <row r="81" spans="1:11" s="126" customFormat="1" ht="13.5">
      <c r="A81" s="125" t="s">
        <v>213</v>
      </c>
      <c r="C81" s="127" t="s">
        <v>584</v>
      </c>
      <c r="D81" s="127"/>
      <c r="E81" s="127"/>
      <c r="F81" s="127"/>
      <c r="G81" s="127"/>
      <c r="H81" s="127"/>
      <c r="I81" s="127"/>
      <c r="J81" s="127"/>
      <c r="K81" s="127"/>
    </row>
    <row r="82" spans="3:11" s="126" customFormat="1" ht="13.5">
      <c r="C82" s="127" t="s">
        <v>187</v>
      </c>
      <c r="D82" s="127"/>
      <c r="E82" s="130">
        <f>'2024 budget comp'!Q46</f>
        <v>6000</v>
      </c>
      <c r="F82" s="127"/>
      <c r="G82" s="127"/>
      <c r="H82" s="127"/>
      <c r="I82" s="127"/>
      <c r="J82" s="127"/>
      <c r="K82" s="127"/>
    </row>
    <row r="83" spans="3:11" s="126" customFormat="1" ht="13.5">
      <c r="C83" s="127"/>
      <c r="D83" s="127"/>
      <c r="E83" s="127"/>
      <c r="F83" s="127"/>
      <c r="G83" s="127"/>
      <c r="H83" s="127"/>
      <c r="I83" s="127"/>
      <c r="J83" s="127"/>
      <c r="K83" s="127"/>
    </row>
    <row r="84" spans="1:11" s="126" customFormat="1" ht="13.5">
      <c r="A84" s="125" t="s">
        <v>208</v>
      </c>
      <c r="C84" s="127" t="s">
        <v>587</v>
      </c>
      <c r="D84" s="127"/>
      <c r="E84" s="127"/>
      <c r="F84" s="127"/>
      <c r="G84" s="127"/>
      <c r="H84" s="127"/>
      <c r="I84" s="127"/>
      <c r="J84" s="127"/>
      <c r="K84" s="127"/>
    </row>
    <row r="85" spans="1:11" s="126" customFormat="1" ht="13.5">
      <c r="A85" s="125" t="s">
        <v>214</v>
      </c>
      <c r="C85" s="126" t="s">
        <v>588</v>
      </c>
      <c r="F85" s="127"/>
      <c r="G85" s="127"/>
      <c r="H85" s="127"/>
      <c r="I85" s="127"/>
      <c r="J85" s="127"/>
      <c r="K85" s="127"/>
    </row>
    <row r="86" spans="1:11" s="126" customFormat="1" ht="13.5">
      <c r="A86" s="125"/>
      <c r="C86" s="127" t="s">
        <v>187</v>
      </c>
      <c r="D86" s="127"/>
      <c r="E86" s="130">
        <f>'2024 budget comp'!Q47</f>
        <v>6000</v>
      </c>
      <c r="F86" s="127"/>
      <c r="G86" s="127"/>
      <c r="H86" s="127"/>
      <c r="I86" s="127"/>
      <c r="J86" s="127"/>
      <c r="K86" s="127"/>
    </row>
    <row r="87" spans="1:11" s="126" customFormat="1" ht="13.5">
      <c r="A87" s="125"/>
      <c r="C87" s="127"/>
      <c r="D87" s="127"/>
      <c r="E87" s="127"/>
      <c r="F87" s="127"/>
      <c r="G87" s="127"/>
      <c r="H87" s="127"/>
      <c r="I87" s="127"/>
      <c r="J87" s="127"/>
      <c r="K87" s="127"/>
    </row>
    <row r="88" spans="1:11" s="126" customFormat="1" ht="13.5">
      <c r="A88" s="125" t="s">
        <v>215</v>
      </c>
      <c r="C88" s="127" t="s">
        <v>216</v>
      </c>
      <c r="D88" s="127"/>
      <c r="E88" s="127"/>
      <c r="F88" s="127"/>
      <c r="G88" s="127"/>
      <c r="H88" s="127"/>
      <c r="I88" s="127"/>
      <c r="J88" s="127"/>
      <c r="K88" s="127"/>
    </row>
    <row r="89" spans="1:11" s="126" customFormat="1" ht="13.5">
      <c r="A89" s="125"/>
      <c r="C89" s="127" t="s">
        <v>187</v>
      </c>
      <c r="D89" s="127"/>
      <c r="E89" s="130">
        <f>'2024 budget comp'!Q48</f>
        <v>3000</v>
      </c>
      <c r="F89" s="127"/>
      <c r="G89" s="127"/>
      <c r="H89" s="127"/>
      <c r="I89" s="127"/>
      <c r="J89" s="127"/>
      <c r="K89" s="127"/>
    </row>
    <row r="90" spans="1:11" s="126" customFormat="1" ht="13.5">
      <c r="A90" s="125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1:11" s="126" customFormat="1" ht="13.5">
      <c r="A91" s="125" t="s">
        <v>217</v>
      </c>
      <c r="C91" s="127" t="s">
        <v>218</v>
      </c>
      <c r="D91" s="127"/>
      <c r="E91" s="127"/>
      <c r="F91" s="127"/>
      <c r="G91" s="127"/>
      <c r="H91" s="127"/>
      <c r="I91" s="127"/>
      <c r="J91" s="127"/>
      <c r="K91" s="127"/>
    </row>
    <row r="92" spans="3:11" s="126" customFormat="1" ht="13.5">
      <c r="C92" s="127" t="s">
        <v>187</v>
      </c>
      <c r="D92" s="127"/>
      <c r="E92" s="130">
        <f>'2024 budget comp'!Q49</f>
        <v>1020</v>
      </c>
      <c r="F92" s="127"/>
      <c r="G92" s="127"/>
      <c r="H92" s="127"/>
      <c r="I92" s="127"/>
      <c r="J92" s="127"/>
      <c r="K92" s="127"/>
    </row>
    <row r="93" spans="3:11" s="126" customFormat="1" ht="13.5">
      <c r="C93" s="127"/>
      <c r="D93" s="127"/>
      <c r="E93" s="134"/>
      <c r="F93" s="127"/>
      <c r="G93" s="127"/>
      <c r="H93" s="127"/>
      <c r="I93" s="127"/>
      <c r="J93" s="127"/>
      <c r="K93" s="127"/>
    </row>
    <row r="94" spans="1:11" s="126" customFormat="1" ht="13.5">
      <c r="A94" s="125" t="s">
        <v>219</v>
      </c>
      <c r="C94" s="127" t="s">
        <v>589</v>
      </c>
      <c r="D94" s="127"/>
      <c r="E94" s="127"/>
      <c r="F94" s="127"/>
      <c r="G94" s="127"/>
      <c r="H94" s="127"/>
      <c r="I94" s="127"/>
      <c r="J94" s="127"/>
      <c r="K94" s="127"/>
    </row>
    <row r="95" spans="1:11" s="126" customFormat="1" ht="13.5">
      <c r="A95" s="125"/>
      <c r="C95" s="127" t="s">
        <v>590</v>
      </c>
      <c r="D95" s="127"/>
      <c r="E95" s="127"/>
      <c r="F95" s="127"/>
      <c r="G95" s="127"/>
      <c r="H95" s="127"/>
      <c r="I95" s="127"/>
      <c r="J95" s="127"/>
      <c r="K95" s="127"/>
    </row>
    <row r="96" spans="1:11" s="126" customFormat="1" ht="13.5">
      <c r="A96" s="125"/>
      <c r="C96" s="127" t="s">
        <v>187</v>
      </c>
      <c r="D96" s="127"/>
      <c r="E96" s="128">
        <f>'2024 budget comp'!Q50</f>
        <v>353068</v>
      </c>
      <c r="F96" s="127"/>
      <c r="G96" s="127"/>
      <c r="H96" s="127"/>
      <c r="I96" s="127"/>
      <c r="J96" s="127"/>
      <c r="K96" s="127"/>
    </row>
    <row r="97" spans="1:5" s="127" customFormat="1" ht="13.5">
      <c r="A97" s="125"/>
      <c r="B97" s="126"/>
      <c r="E97" s="128"/>
    </row>
    <row r="98" spans="1:3" s="127" customFormat="1" ht="13.5">
      <c r="A98" s="125" t="s">
        <v>180</v>
      </c>
      <c r="B98" s="126"/>
      <c r="C98" s="127" t="s">
        <v>591</v>
      </c>
    </row>
    <row r="99" spans="1:11" s="126" customFormat="1" ht="13.5">
      <c r="A99" s="127"/>
      <c r="B99" s="127"/>
      <c r="C99" s="127" t="s">
        <v>187</v>
      </c>
      <c r="D99" s="127"/>
      <c r="E99" s="128">
        <f>'2024 Detail'!O56</f>
        <v>1200</v>
      </c>
      <c r="F99" s="127"/>
      <c r="G99" s="127"/>
      <c r="H99" s="127"/>
      <c r="I99" s="127"/>
      <c r="J99" s="127"/>
      <c r="K99" s="127"/>
    </row>
    <row r="100" spans="1:11" s="126" customFormat="1" ht="13.5">
      <c r="A100" s="127"/>
      <c r="B100" s="127"/>
      <c r="C100" s="127"/>
      <c r="D100" s="127"/>
      <c r="E100" s="128"/>
      <c r="F100" s="127"/>
      <c r="G100" s="127"/>
      <c r="H100" s="127"/>
      <c r="I100" s="127"/>
      <c r="J100" s="127"/>
      <c r="K100" s="127"/>
    </row>
    <row r="101" spans="1:11" s="126" customFormat="1" ht="15">
      <c r="A101" s="125"/>
      <c r="B101" s="131" t="s">
        <v>71</v>
      </c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1:11" s="126" customFormat="1" ht="13.5">
      <c r="A102" s="125" t="s">
        <v>220</v>
      </c>
      <c r="C102" s="127" t="s">
        <v>480</v>
      </c>
      <c r="D102" s="127"/>
      <c r="E102" s="127"/>
      <c r="F102" s="127"/>
      <c r="G102" s="127"/>
      <c r="H102" s="127"/>
      <c r="I102" s="127"/>
      <c r="J102" s="127"/>
      <c r="K102" s="127"/>
    </row>
    <row r="103" spans="3:11" s="126" customFormat="1" ht="13.5">
      <c r="C103" s="127" t="s">
        <v>187</v>
      </c>
      <c r="D103" s="127"/>
      <c r="E103" s="128">
        <f>'2024 budget comp'!Q55</f>
        <v>78000</v>
      </c>
      <c r="F103" s="127"/>
      <c r="G103" s="127"/>
      <c r="H103" s="127"/>
      <c r="I103" s="127"/>
      <c r="J103" s="127"/>
      <c r="K103" s="127"/>
    </row>
    <row r="104" spans="3:11" s="126" customFormat="1" ht="13.5">
      <c r="C104" s="127"/>
      <c r="D104" s="127"/>
      <c r="E104" s="127"/>
      <c r="F104" s="127"/>
      <c r="G104" s="127"/>
      <c r="H104" s="127"/>
      <c r="I104" s="127"/>
      <c r="J104" s="127"/>
      <c r="K104" s="127"/>
    </row>
    <row r="105" spans="1:11" s="126" customFormat="1" ht="13.5">
      <c r="A105" s="125" t="s">
        <v>221</v>
      </c>
      <c r="C105" s="127" t="s">
        <v>222</v>
      </c>
      <c r="D105" s="127"/>
      <c r="E105" s="127"/>
      <c r="F105" s="127"/>
      <c r="G105" s="127"/>
      <c r="H105" s="127"/>
      <c r="I105" s="127"/>
      <c r="J105" s="127"/>
      <c r="K105" s="127"/>
    </row>
    <row r="106" spans="1:11" s="126" customFormat="1" ht="13.5">
      <c r="A106" s="125"/>
      <c r="C106" s="127" t="s">
        <v>187</v>
      </c>
      <c r="D106" s="127"/>
      <c r="E106" s="128">
        <f>'2024 budget comp'!Q56</f>
        <v>138074</v>
      </c>
      <c r="F106" s="127"/>
      <c r="G106" s="127"/>
      <c r="H106" s="127"/>
      <c r="I106" s="127"/>
      <c r="J106" s="127"/>
      <c r="K106" s="127"/>
    </row>
    <row r="107" spans="1:11" s="126" customFormat="1" ht="13.5">
      <c r="A107" s="125"/>
      <c r="C107" s="127"/>
      <c r="D107" s="127"/>
      <c r="E107" s="127"/>
      <c r="F107" s="127"/>
      <c r="G107" s="127"/>
      <c r="I107" s="127"/>
      <c r="J107" s="127"/>
      <c r="K107" s="127"/>
    </row>
    <row r="108" spans="1:11" s="126" customFormat="1" ht="13.5">
      <c r="A108" s="125" t="s">
        <v>223</v>
      </c>
      <c r="C108" s="127" t="s">
        <v>603</v>
      </c>
      <c r="D108" s="127"/>
      <c r="E108" s="127"/>
      <c r="F108" s="127"/>
      <c r="G108" s="127"/>
      <c r="I108" s="127"/>
      <c r="J108" s="127"/>
      <c r="K108" s="127"/>
    </row>
    <row r="109" spans="1:11" s="126" customFormat="1" ht="13.5">
      <c r="A109" s="125"/>
      <c r="C109" s="127" t="s">
        <v>187</v>
      </c>
      <c r="D109" s="127"/>
      <c r="E109" s="128">
        <f>'2024 budget comp'!Q57</f>
        <v>72000</v>
      </c>
      <c r="F109" s="127"/>
      <c r="G109" s="127"/>
      <c r="H109" s="127"/>
      <c r="I109" s="127"/>
      <c r="J109" s="127"/>
      <c r="K109" s="127"/>
    </row>
    <row r="110" spans="1:11" s="126" customFormat="1" ht="13.5">
      <c r="A110" s="125"/>
      <c r="C110" s="127"/>
      <c r="D110" s="127"/>
      <c r="E110" s="127"/>
      <c r="F110" s="127"/>
      <c r="G110" s="127"/>
      <c r="H110" s="127"/>
      <c r="I110" s="127"/>
      <c r="J110" s="127"/>
      <c r="K110" s="127"/>
    </row>
    <row r="111" spans="1:11" s="126" customFormat="1" ht="13.5">
      <c r="A111" s="125" t="s">
        <v>224</v>
      </c>
      <c r="C111" s="127" t="s">
        <v>602</v>
      </c>
      <c r="D111" s="127"/>
      <c r="E111" s="127"/>
      <c r="F111" s="127"/>
      <c r="G111" s="127"/>
      <c r="H111" s="127"/>
      <c r="I111" s="127"/>
      <c r="J111" s="127"/>
      <c r="K111" s="127"/>
    </row>
    <row r="112" spans="1:11" s="126" customFormat="1" ht="13.5">
      <c r="A112" s="125"/>
      <c r="C112" s="127" t="s">
        <v>601</v>
      </c>
      <c r="D112" s="127"/>
      <c r="E112" s="127"/>
      <c r="F112" s="127"/>
      <c r="G112" s="127"/>
      <c r="H112" s="127"/>
      <c r="I112" s="127"/>
      <c r="J112" s="127"/>
      <c r="K112" s="127"/>
    </row>
    <row r="113" spans="3:11" s="126" customFormat="1" ht="13.5">
      <c r="C113" s="127" t="s">
        <v>187</v>
      </c>
      <c r="D113" s="127"/>
      <c r="E113" s="128">
        <f>'2024 budget comp'!Q58</f>
        <v>191827</v>
      </c>
      <c r="F113" s="127"/>
      <c r="G113" s="127"/>
      <c r="H113" s="127"/>
      <c r="I113" s="127"/>
      <c r="J113" s="127"/>
      <c r="K113" s="127"/>
    </row>
    <row r="114" spans="3:11" s="126" customFormat="1" ht="13.5"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1:11" s="126" customFormat="1" ht="13.5">
      <c r="A115" s="125" t="s">
        <v>225</v>
      </c>
      <c r="C115" s="127" t="s">
        <v>600</v>
      </c>
      <c r="D115" s="127"/>
      <c r="E115" s="127"/>
      <c r="F115" s="127"/>
      <c r="G115" s="127"/>
      <c r="H115" s="127"/>
      <c r="I115" s="127"/>
      <c r="J115" s="127"/>
      <c r="K115" s="127"/>
    </row>
    <row r="116" spans="1:11" s="126" customFormat="1" ht="13.5">
      <c r="A116" s="125"/>
      <c r="C116" s="127" t="s">
        <v>187</v>
      </c>
      <c r="D116" s="127"/>
      <c r="E116" s="128">
        <f>'2024 budget comp'!Q59</f>
        <v>134202</v>
      </c>
      <c r="F116" s="127"/>
      <c r="G116" s="127"/>
      <c r="H116" s="127"/>
      <c r="I116" s="127"/>
      <c r="J116" s="127"/>
      <c r="K116" s="127"/>
    </row>
    <row r="117" spans="1:11" s="126" customFormat="1" ht="13.5">
      <c r="A117" s="125"/>
      <c r="C117" s="135"/>
      <c r="D117" s="127"/>
      <c r="E117" s="127"/>
      <c r="F117" s="127"/>
      <c r="G117" s="127"/>
      <c r="H117" s="127"/>
      <c r="I117" s="127"/>
      <c r="J117" s="127"/>
      <c r="K117" s="127"/>
    </row>
    <row r="118" spans="1:11" s="126" customFormat="1" ht="13.5">
      <c r="A118" s="125"/>
      <c r="C118" s="135"/>
      <c r="D118" s="127"/>
      <c r="E118" s="420">
        <f>SUM(E6:E117)</f>
        <v>1386450.3</v>
      </c>
      <c r="F118" s="127"/>
      <c r="G118" s="127"/>
      <c r="H118" s="127"/>
      <c r="I118" s="127"/>
      <c r="J118" s="127"/>
      <c r="K118" s="127"/>
    </row>
    <row r="119" spans="1:11" s="126" customFormat="1" ht="13.5">
      <c r="A119" s="125"/>
      <c r="C119" s="135"/>
      <c r="D119" s="127"/>
      <c r="E119" s="127"/>
      <c r="F119" s="127"/>
      <c r="G119" s="127"/>
      <c r="H119" s="127"/>
      <c r="I119" s="127"/>
      <c r="J119" s="127"/>
      <c r="K119" s="127"/>
    </row>
    <row r="120" spans="1:11" s="126" customFormat="1" ht="19.5" customHeight="1">
      <c r="A120" s="126" t="s">
        <v>230</v>
      </c>
      <c r="C120" s="127"/>
      <c r="D120" s="127"/>
      <c r="E120" s="127"/>
      <c r="F120" s="127"/>
      <c r="G120" s="127"/>
      <c r="H120" s="127"/>
      <c r="I120" s="127"/>
      <c r="J120" s="127"/>
      <c r="K120" s="127"/>
    </row>
    <row r="121" spans="1:11" s="126" customFormat="1" ht="13.5">
      <c r="A121" s="126" t="s">
        <v>232</v>
      </c>
      <c r="C121" s="127"/>
      <c r="D121" s="127"/>
      <c r="E121" s="127"/>
      <c r="F121" s="127"/>
      <c r="G121" s="127"/>
      <c r="H121" s="127"/>
      <c r="I121" s="127"/>
      <c r="J121" s="127"/>
      <c r="K121" s="127"/>
    </row>
    <row r="122" spans="3:11" s="126" customFormat="1" ht="13.5">
      <c r="C122" s="127"/>
      <c r="D122" s="127"/>
      <c r="E122" s="127"/>
      <c r="F122" s="127"/>
      <c r="G122" s="127"/>
      <c r="H122" s="127"/>
      <c r="I122" s="127"/>
      <c r="J122" s="127"/>
      <c r="K122" s="127"/>
    </row>
    <row r="123" spans="1:11" s="126" customFormat="1" ht="13.5">
      <c r="A123" s="132" t="s">
        <v>605</v>
      </c>
      <c r="C123" s="127"/>
      <c r="D123" s="127"/>
      <c r="E123" s="127"/>
      <c r="F123" s="127"/>
      <c r="G123" s="127"/>
      <c r="H123" s="127"/>
      <c r="I123" s="127"/>
      <c r="J123" s="127"/>
      <c r="K123" s="127"/>
    </row>
    <row r="124" spans="1:8" ht="13.5">
      <c r="A124" s="126"/>
      <c r="B124" s="126"/>
      <c r="C124" s="136"/>
      <c r="D124" s="127"/>
      <c r="E124" s="137">
        <f>-'VI offset'!C21</f>
        <v>22004.199999999997</v>
      </c>
      <c r="F124" s="127"/>
      <c r="G124" s="127"/>
      <c r="H124" s="127"/>
    </row>
    <row r="125" spans="1:8" ht="13.5">
      <c r="A125" s="126"/>
      <c r="B125" s="126"/>
      <c r="C125" s="127"/>
      <c r="D125" s="127"/>
      <c r="E125" s="127"/>
      <c r="F125" s="127"/>
      <c r="G125" s="127"/>
      <c r="H125" s="127"/>
    </row>
    <row r="126" spans="3:5" ht="13.5">
      <c r="C126" s="127"/>
      <c r="D126" s="127"/>
      <c r="E126" s="127"/>
    </row>
  </sheetData>
  <sheetProtection/>
  <mergeCells count="3">
    <mergeCell ref="A1:H1"/>
    <mergeCell ref="A2:H2"/>
    <mergeCell ref="A3:H3"/>
  </mergeCells>
  <printOptions/>
  <pageMargins left="0.5" right="0" top="0.46" bottom="0.52" header="0.24" footer="0.26"/>
  <pageSetup fitToHeight="0" fitToWidth="1" horizontalDpi="600" verticalDpi="600" orientation="portrait" scale="75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" sqref="A1:O1"/>
    </sheetView>
  </sheetViews>
  <sheetFormatPr defaultColWidth="8.28125" defaultRowHeight="12.75"/>
  <cols>
    <col min="1" max="1" width="21.57421875" style="257" customWidth="1"/>
    <col min="2" max="2" width="16.7109375" style="257" hidden="1" customWidth="1"/>
    <col min="3" max="14" width="9.00390625" style="257" customWidth="1"/>
    <col min="15" max="15" width="9.7109375" style="268" customWidth="1"/>
    <col min="16" max="18" width="9.7109375" style="257" customWidth="1"/>
    <col min="19" max="19" width="16.8515625" style="257" customWidth="1"/>
    <col min="20" max="16384" width="8.28125" style="257" customWidth="1"/>
  </cols>
  <sheetData>
    <row r="1" spans="1:18" ht="15">
      <c r="A1" s="431" t="s">
        <v>402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300"/>
      <c r="Q1" s="300"/>
      <c r="R1" s="300"/>
    </row>
    <row r="2" spans="1:18" ht="15">
      <c r="A2" s="431" t="s">
        <v>491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300"/>
      <c r="Q2" s="300"/>
      <c r="R2" s="300"/>
    </row>
    <row r="4" spans="16:18" ht="11.25">
      <c r="P4" s="303">
        <v>2022</v>
      </c>
      <c r="R4" s="303"/>
    </row>
    <row r="5" spans="3:18" ht="12">
      <c r="C5" s="426" t="s">
        <v>355</v>
      </c>
      <c r="D5" s="426"/>
      <c r="E5" s="426"/>
      <c r="F5" s="426"/>
      <c r="G5" s="426"/>
      <c r="H5" s="426"/>
      <c r="I5" s="426"/>
      <c r="J5" s="333"/>
      <c r="K5" s="427" t="s">
        <v>356</v>
      </c>
      <c r="L5" s="427"/>
      <c r="M5" s="427"/>
      <c r="N5" s="427"/>
      <c r="O5" s="258" t="s">
        <v>355</v>
      </c>
      <c r="P5" s="259" t="s">
        <v>0</v>
      </c>
      <c r="Q5" s="259" t="s">
        <v>0</v>
      </c>
      <c r="R5" s="259" t="s">
        <v>429</v>
      </c>
    </row>
    <row r="6" spans="2:18" ht="12">
      <c r="B6" s="260" t="s">
        <v>1</v>
      </c>
      <c r="C6" s="261" t="s">
        <v>357</v>
      </c>
      <c r="D6" s="261" t="s">
        <v>358</v>
      </c>
      <c r="E6" s="261" t="s">
        <v>359</v>
      </c>
      <c r="F6" s="261" t="s">
        <v>360</v>
      </c>
      <c r="G6" s="261" t="s">
        <v>361</v>
      </c>
      <c r="H6" s="261" t="s">
        <v>362</v>
      </c>
      <c r="I6" s="261" t="s">
        <v>363</v>
      </c>
      <c r="J6" s="334" t="s">
        <v>399</v>
      </c>
      <c r="K6" s="331" t="s">
        <v>400</v>
      </c>
      <c r="L6" s="331" t="s">
        <v>364</v>
      </c>
      <c r="M6" s="331" t="s">
        <v>365</v>
      </c>
      <c r="N6" s="331" t="s">
        <v>366</v>
      </c>
      <c r="O6" s="262" t="s">
        <v>367</v>
      </c>
      <c r="P6" s="261" t="s">
        <v>368</v>
      </c>
      <c r="Q6" s="261" t="s">
        <v>10</v>
      </c>
      <c r="R6" s="261" t="s">
        <v>0</v>
      </c>
    </row>
    <row r="7" spans="1:18" ht="11.25">
      <c r="A7" s="263"/>
      <c r="B7" s="264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67"/>
      <c r="P7" s="282"/>
      <c r="Q7" s="282"/>
      <c r="R7" s="282"/>
    </row>
    <row r="8" spans="1:18" ht="11.25">
      <c r="A8" s="263" t="s">
        <v>71</v>
      </c>
      <c r="B8" s="264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67"/>
      <c r="P8" s="282"/>
      <c r="Q8" s="282"/>
      <c r="R8" s="282"/>
    </row>
    <row r="9" spans="1:18" ht="12.75">
      <c r="A9" s="263" t="s">
        <v>471</v>
      </c>
      <c r="B9" s="264" t="s">
        <v>75</v>
      </c>
      <c r="C9" s="277" t="e">
        <f>#REF!</f>
        <v>#REF!</v>
      </c>
      <c r="D9" s="277" t="e">
        <f>#REF!</f>
        <v>#REF!</v>
      </c>
      <c r="E9" s="277" t="e">
        <f>#REF!</f>
        <v>#REF!</v>
      </c>
      <c r="F9" s="277" t="e">
        <f>#REF!</f>
        <v>#REF!</v>
      </c>
      <c r="G9" s="277" t="e">
        <f>#REF!</f>
        <v>#REF!</v>
      </c>
      <c r="H9" s="277" t="e">
        <f>#REF!</f>
        <v>#REF!</v>
      </c>
      <c r="I9" s="277" t="e">
        <f>#REF!</f>
        <v>#REF!</v>
      </c>
      <c r="J9" s="277" t="e">
        <f>#REF!</f>
        <v>#REF!</v>
      </c>
      <c r="K9" s="277" t="e">
        <f>#REF!</f>
        <v>#REF!</v>
      </c>
      <c r="L9" s="277" t="e">
        <f>#REF!</f>
        <v>#REF!</v>
      </c>
      <c r="M9" s="277" t="e">
        <f>#REF!</f>
        <v>#REF!</v>
      </c>
      <c r="N9" s="277" t="e">
        <f>#REF!</f>
        <v>#REF!</v>
      </c>
      <c r="O9" s="266" t="e">
        <f>SUM(C9:N9)</f>
        <v>#REF!</v>
      </c>
      <c r="P9" s="277"/>
      <c r="Q9" s="265"/>
      <c r="R9" s="277"/>
    </row>
    <row r="10" spans="1:18" s="268" customFormat="1" ht="12.75">
      <c r="A10" s="305" t="s">
        <v>488</v>
      </c>
      <c r="B10" s="306"/>
      <c r="C10" s="321">
        <f>'2024 Detail'!C64</f>
        <v>13279</v>
      </c>
      <c r="D10" s="321">
        <f>'2024 Detail'!D64</f>
        <v>11642</v>
      </c>
      <c r="E10" s="321">
        <f>'2024 Detail'!E64</f>
        <v>9483</v>
      </c>
      <c r="F10" s="321">
        <f>'2024 Detail'!F64</f>
        <v>9287</v>
      </c>
      <c r="G10" s="321">
        <f>'2024 Detail'!G64</f>
        <v>11013</v>
      </c>
      <c r="H10" s="321">
        <f>'2024 Detail'!H64</f>
        <v>11254</v>
      </c>
      <c r="I10" s="321">
        <f>'2024 Detail'!I64</f>
        <v>12014</v>
      </c>
      <c r="J10" s="321">
        <f>'2024 Detail'!J64</f>
        <v>10883</v>
      </c>
      <c r="K10" s="321">
        <f>'2024 Detail'!K64</f>
        <v>12130</v>
      </c>
      <c r="L10" s="321">
        <f>'2024 Detail'!L64</f>
        <v>12019</v>
      </c>
      <c r="M10" s="321">
        <f>'2024 Detail'!M64</f>
        <v>12374</v>
      </c>
      <c r="N10" s="321">
        <f>'2024 Detail'!N64</f>
        <v>12696</v>
      </c>
      <c r="O10" s="266">
        <f>SUM(C10:N10)</f>
        <v>138074</v>
      </c>
      <c r="P10" s="309"/>
      <c r="Q10" s="266"/>
      <c r="R10" s="308"/>
    </row>
    <row r="11" spans="1:18" ht="12.75">
      <c r="A11" s="263" t="s">
        <v>432</v>
      </c>
      <c r="B11" s="264"/>
      <c r="C11" s="310" t="e">
        <f>(C10-C9)/C10</f>
        <v>#REF!</v>
      </c>
      <c r="D11" s="310" t="e">
        <f aca="true" t="shared" si="0" ref="D11:N11">(D10-D9)/D10</f>
        <v>#REF!</v>
      </c>
      <c r="E11" s="310" t="e">
        <f t="shared" si="0"/>
        <v>#REF!</v>
      </c>
      <c r="F11" s="310" t="e">
        <f t="shared" si="0"/>
        <v>#REF!</v>
      </c>
      <c r="G11" s="310" t="e">
        <f t="shared" si="0"/>
        <v>#REF!</v>
      </c>
      <c r="H11" s="310" t="e">
        <f t="shared" si="0"/>
        <v>#REF!</v>
      </c>
      <c r="I11" s="310" t="e">
        <f t="shared" si="0"/>
        <v>#REF!</v>
      </c>
      <c r="J11" s="310" t="e">
        <f t="shared" si="0"/>
        <v>#REF!</v>
      </c>
      <c r="K11" s="310" t="e">
        <f t="shared" si="0"/>
        <v>#REF!</v>
      </c>
      <c r="L11" s="310" t="e">
        <f t="shared" si="0"/>
        <v>#REF!</v>
      </c>
      <c r="M11" s="310" t="e">
        <f t="shared" si="0"/>
        <v>#REF!</v>
      </c>
      <c r="N11" s="310" t="e">
        <f t="shared" si="0"/>
        <v>#REF!</v>
      </c>
      <c r="O11" s="266"/>
      <c r="P11" s="277"/>
      <c r="Q11" s="265"/>
      <c r="R11" s="277"/>
    </row>
    <row r="12" spans="1:18" ht="12.75">
      <c r="A12" s="263"/>
      <c r="B12" s="264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266"/>
      <c r="P12" s="277"/>
      <c r="Q12" s="265"/>
      <c r="R12" s="277"/>
    </row>
    <row r="13" spans="1:19" ht="12.75">
      <c r="A13" s="263" t="s">
        <v>469</v>
      </c>
      <c r="B13" s="264" t="s">
        <v>79</v>
      </c>
      <c r="C13" s="277" t="e">
        <f>#REF!</f>
        <v>#REF!</v>
      </c>
      <c r="D13" s="277" t="e">
        <f>#REF!</f>
        <v>#REF!</v>
      </c>
      <c r="E13" s="277" t="e">
        <f>#REF!</f>
        <v>#REF!</v>
      </c>
      <c r="F13" s="277" t="e">
        <f>#REF!</f>
        <v>#REF!</v>
      </c>
      <c r="G13" s="277" t="e">
        <f>#REF!</f>
        <v>#REF!</v>
      </c>
      <c r="H13" s="277" t="e">
        <f>#REF!</f>
        <v>#REF!</v>
      </c>
      <c r="I13" s="277" t="e">
        <f>#REF!</f>
        <v>#REF!</v>
      </c>
      <c r="J13" s="277" t="e">
        <f>#REF!</f>
        <v>#REF!</v>
      </c>
      <c r="K13" s="277" t="e">
        <f>#REF!</f>
        <v>#REF!</v>
      </c>
      <c r="L13" s="277" t="e">
        <f>#REF!</f>
        <v>#REF!</v>
      </c>
      <c r="M13" s="277" t="e">
        <f>#REF!</f>
        <v>#REF!</v>
      </c>
      <c r="N13" s="277" t="e">
        <f>#REF!</f>
        <v>#REF!</v>
      </c>
      <c r="O13" s="266" t="e">
        <f>SUM(C13:N13)</f>
        <v>#REF!</v>
      </c>
      <c r="P13" s="277"/>
      <c r="Q13" s="265"/>
      <c r="R13" s="277"/>
      <c r="S13" s="257" t="s">
        <v>427</v>
      </c>
    </row>
    <row r="14" spans="1:18" s="268" customFormat="1" ht="12.75">
      <c r="A14" s="305" t="s">
        <v>489</v>
      </c>
      <c r="B14" s="306"/>
      <c r="C14" s="321">
        <f>'2024 Detail'!C66</f>
        <v>46321</v>
      </c>
      <c r="D14" s="321">
        <f>'2024 Detail'!D66</f>
        <v>40561</v>
      </c>
      <c r="E14" s="321">
        <f>'2024 Detail'!E66</f>
        <v>40512</v>
      </c>
      <c r="F14" s="321">
        <f>'2024 Detail'!F66</f>
        <v>16183</v>
      </c>
      <c r="G14" s="321">
        <f>'2024 Detail'!G66</f>
        <v>9960</v>
      </c>
      <c r="H14" s="321">
        <f>'2024 Detail'!H66</f>
        <v>4630</v>
      </c>
      <c r="I14" s="321">
        <f>'2024 Detail'!I66</f>
        <v>2196</v>
      </c>
      <c r="J14" s="321">
        <f>'2024 Detail'!J66</f>
        <v>1097</v>
      </c>
      <c r="K14" s="321">
        <f>'2024 Detail'!K66</f>
        <v>1326</v>
      </c>
      <c r="L14" s="321">
        <f>'2024 Detail'!L66</f>
        <v>3082</v>
      </c>
      <c r="M14" s="321">
        <f>'2024 Detail'!M66</f>
        <v>9810</v>
      </c>
      <c r="N14" s="321">
        <f>'2024 Detail'!N66</f>
        <v>16149</v>
      </c>
      <c r="O14" s="266">
        <f>SUM(C14:N14)</f>
        <v>191827</v>
      </c>
      <c r="P14" s="308"/>
      <c r="Q14" s="266"/>
      <c r="R14" s="308"/>
    </row>
    <row r="15" spans="1:18" ht="12.75">
      <c r="A15" s="263" t="s">
        <v>432</v>
      </c>
      <c r="B15" s="264"/>
      <c r="C15" s="310" t="e">
        <f>(C14-C13)/C14</f>
        <v>#REF!</v>
      </c>
      <c r="D15" s="310" t="e">
        <f aca="true" t="shared" si="1" ref="D15:N15">(D14-D13)/D14</f>
        <v>#REF!</v>
      </c>
      <c r="E15" s="310" t="e">
        <f t="shared" si="1"/>
        <v>#REF!</v>
      </c>
      <c r="F15" s="310" t="e">
        <f t="shared" si="1"/>
        <v>#REF!</v>
      </c>
      <c r="G15" s="310" t="e">
        <f t="shared" si="1"/>
        <v>#REF!</v>
      </c>
      <c r="H15" s="310" t="e">
        <f t="shared" si="1"/>
        <v>#REF!</v>
      </c>
      <c r="I15" s="310" t="e">
        <f t="shared" si="1"/>
        <v>#REF!</v>
      </c>
      <c r="J15" s="310" t="e">
        <f t="shared" si="1"/>
        <v>#REF!</v>
      </c>
      <c r="K15" s="310" t="e">
        <f t="shared" si="1"/>
        <v>#REF!</v>
      </c>
      <c r="L15" s="310" t="e">
        <f t="shared" si="1"/>
        <v>#REF!</v>
      </c>
      <c r="M15" s="310" t="e">
        <f t="shared" si="1"/>
        <v>#REF!</v>
      </c>
      <c r="N15" s="310" t="e">
        <f t="shared" si="1"/>
        <v>#REF!</v>
      </c>
      <c r="O15" s="266"/>
      <c r="P15" s="277"/>
      <c r="Q15" s="265"/>
      <c r="R15" s="277"/>
    </row>
    <row r="16" spans="1:18" ht="12.75">
      <c r="A16" s="263"/>
      <c r="B16" s="264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266"/>
      <c r="P16" s="277"/>
      <c r="Q16" s="265"/>
      <c r="R16" s="277"/>
    </row>
    <row r="17" spans="1:19" ht="23.25">
      <c r="A17" s="263" t="s">
        <v>470</v>
      </c>
      <c r="B17" s="264" t="s">
        <v>81</v>
      </c>
      <c r="C17" s="302" t="e">
        <f>#REF!</f>
        <v>#REF!</v>
      </c>
      <c r="D17" s="302" t="e">
        <f>#REF!</f>
        <v>#REF!</v>
      </c>
      <c r="E17" s="302" t="e">
        <f>#REF!</f>
        <v>#REF!</v>
      </c>
      <c r="F17" s="302" t="e">
        <f>#REF!</f>
        <v>#REF!</v>
      </c>
      <c r="G17" s="302" t="e">
        <f>#REF!</f>
        <v>#REF!</v>
      </c>
      <c r="H17" s="302" t="e">
        <f>#REF!</f>
        <v>#REF!</v>
      </c>
      <c r="I17" s="302" t="e">
        <f>#REF!</f>
        <v>#REF!</v>
      </c>
      <c r="J17" s="302" t="e">
        <f>#REF!</f>
        <v>#REF!</v>
      </c>
      <c r="K17" s="302" t="e">
        <f>#REF!</f>
        <v>#REF!</v>
      </c>
      <c r="L17" s="302" t="e">
        <f>#REF!</f>
        <v>#REF!</v>
      </c>
      <c r="M17" s="302" t="e">
        <f>#REF!</f>
        <v>#REF!</v>
      </c>
      <c r="N17" s="302" t="e">
        <f>#REF!</f>
        <v>#REF!</v>
      </c>
      <c r="O17" s="285" t="e">
        <f>SUM(C17:N17)</f>
        <v>#REF!</v>
      </c>
      <c r="P17" s="302"/>
      <c r="Q17" s="286"/>
      <c r="R17" s="302"/>
      <c r="S17" s="257" t="s">
        <v>428</v>
      </c>
    </row>
    <row r="18" spans="1:18" s="313" customFormat="1" ht="12.75">
      <c r="A18" s="311" t="s">
        <v>490</v>
      </c>
      <c r="B18" s="312"/>
      <c r="C18" s="321">
        <f>'2024 Detail'!C67</f>
        <v>7782</v>
      </c>
      <c r="D18" s="321">
        <f>'2024 Detail'!D67</f>
        <v>8081</v>
      </c>
      <c r="E18" s="321">
        <f>'2024 Detail'!E67</f>
        <v>10069</v>
      </c>
      <c r="F18" s="321">
        <f>'2024 Detail'!F67</f>
        <v>10344</v>
      </c>
      <c r="G18" s="321">
        <f>'2024 Detail'!G67</f>
        <v>11583</v>
      </c>
      <c r="H18" s="321">
        <f>'2024 Detail'!H67</f>
        <v>13499</v>
      </c>
      <c r="I18" s="321">
        <f>'2024 Detail'!I67</f>
        <v>15044</v>
      </c>
      <c r="J18" s="321">
        <f>'2024 Detail'!J67</f>
        <v>16487</v>
      </c>
      <c r="K18" s="321">
        <f>'2024 Detail'!K67</f>
        <v>15042</v>
      </c>
      <c r="L18" s="321">
        <f>'2024 Detail'!L67</f>
        <v>8207</v>
      </c>
      <c r="M18" s="321">
        <f>'2024 Detail'!M67</f>
        <v>9677</v>
      </c>
      <c r="N18" s="321">
        <f>'2024 Detail'!N67</f>
        <v>8387</v>
      </c>
      <c r="O18" s="285">
        <f>SUM(C18:N18)</f>
        <v>134202</v>
      </c>
      <c r="P18" s="307"/>
      <c r="Q18" s="285"/>
      <c r="R18" s="307"/>
    </row>
    <row r="19" spans="1:18" ht="12.75">
      <c r="A19" s="263" t="s">
        <v>432</v>
      </c>
      <c r="B19" s="264"/>
      <c r="C19" s="310" t="e">
        <f>(C18-C17)/C18</f>
        <v>#REF!</v>
      </c>
      <c r="D19" s="310" t="e">
        <f aca="true" t="shared" si="2" ref="D19:N19">(D18-D17)/D18</f>
        <v>#REF!</v>
      </c>
      <c r="E19" s="310" t="e">
        <f t="shared" si="2"/>
        <v>#REF!</v>
      </c>
      <c r="F19" s="310" t="e">
        <f t="shared" si="2"/>
        <v>#REF!</v>
      </c>
      <c r="G19" s="310" t="e">
        <f t="shared" si="2"/>
        <v>#REF!</v>
      </c>
      <c r="H19" s="310" t="e">
        <f t="shared" si="2"/>
        <v>#REF!</v>
      </c>
      <c r="I19" s="310" t="e">
        <f t="shared" si="2"/>
        <v>#REF!</v>
      </c>
      <c r="J19" s="310" t="e">
        <f t="shared" si="2"/>
        <v>#REF!</v>
      </c>
      <c r="K19" s="310" t="e">
        <f t="shared" si="2"/>
        <v>#REF!</v>
      </c>
      <c r="L19" s="310" t="e">
        <f t="shared" si="2"/>
        <v>#REF!</v>
      </c>
      <c r="M19" s="310" t="e">
        <f t="shared" si="2"/>
        <v>#REF!</v>
      </c>
      <c r="N19" s="310" t="e">
        <f t="shared" si="2"/>
        <v>#REF!</v>
      </c>
      <c r="O19" s="285"/>
      <c r="P19" s="302"/>
      <c r="Q19" s="286"/>
      <c r="R19" s="302"/>
    </row>
    <row r="20" spans="1:18" ht="11.25">
      <c r="A20" s="263"/>
      <c r="B20" s="264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67"/>
      <c r="P20" s="282"/>
      <c r="Q20" s="282"/>
      <c r="R20" s="282"/>
    </row>
  </sheetData>
  <sheetProtection/>
  <mergeCells count="4">
    <mergeCell ref="A1:O1"/>
    <mergeCell ref="A2:O2"/>
    <mergeCell ref="C5:I5"/>
    <mergeCell ref="K5:N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Bateman, Lauris</dc:creator>
  <cp:keywords/>
  <dc:description/>
  <cp:lastModifiedBy>LBateman</cp:lastModifiedBy>
  <cp:lastPrinted>2023-11-01T14:03:56Z</cp:lastPrinted>
  <dcterms:created xsi:type="dcterms:W3CDTF">2006-09-29T15:06:21Z</dcterms:created>
  <dcterms:modified xsi:type="dcterms:W3CDTF">2023-11-07T21:46:56Z</dcterms:modified>
  <cp:category/>
  <cp:version/>
  <cp:contentType/>
  <cp:contentStatus/>
</cp:coreProperties>
</file>